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bookViews>
    <workbookView xWindow="0" yWindow="0" windowWidth="28800" windowHeight="12300" activeTab="0"/>
  </bookViews>
  <sheets>
    <sheet name="Hinweise" sheetId="11" r:id="rId1"/>
    <sheet name="Jahreswerte" sheetId="8" r:id="rId2"/>
    <sheet name="Monatswerte" sheetId="9" r:id="rId3"/>
    <sheet name="Abgleich" sheetId="10" r:id="rId4"/>
    <sheet name="Kapitaldienstfähigkeit" sheetId="12" r:id="rId5"/>
  </sheets>
  <definedNames>
    <definedName name="_xlnm.Print_Area" localSheetId="3">'Abgleich'!$A$3:$O$48</definedName>
    <definedName name="_xlnm.Print_Area" localSheetId="0">'Hinweise'!$A$2:$I$99</definedName>
    <definedName name="_xlnm.Print_Area" localSheetId="1">'Jahreswerte'!$A$2:$V$47</definedName>
    <definedName name="_xlnm.Print_Area" localSheetId="4">'Kapitaldienstfähigkeit'!$A$2:$O$47</definedName>
    <definedName name="_xlnm.Print_Area" localSheetId="2">'Monatswerte'!$A$3:$T$76</definedName>
  </definedNames>
  <calcPr calcId="162913"/>
</workbook>
</file>

<file path=xl/comments2.xml><?xml version="1.0" encoding="utf-8"?>
<comments xmlns="http://schemas.openxmlformats.org/spreadsheetml/2006/main">
  <authors>
    <author>Torsten Schimmel</author>
  </authors>
  <commentList>
    <comment ref="P6" authorId="0">
      <text>
        <r>
          <rPr>
            <b/>
            <sz val="10"/>
            <rFont val="Candara"/>
            <family val="2"/>
          </rPr>
          <t xml:space="preserve">Hinweis:
</t>
        </r>
        <r>
          <rPr>
            <sz val="10"/>
            <rFont val="Candara"/>
            <family val="2"/>
          </rPr>
          <t>Wenn ein abweichendes Wirtschaftsjahr vorliegt, tragen Sie bitte hier das zweite Jahr ein.</t>
        </r>
      </text>
    </comment>
  </commentList>
</comments>
</file>

<file path=xl/comments3.xml><?xml version="1.0" encoding="utf-8"?>
<comments xmlns="http://schemas.openxmlformats.org/spreadsheetml/2006/main">
  <authors>
    <author>Torsten Schimmel</author>
  </authors>
  <commentList>
    <comment ref="E19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Hier können Sie eine Vorgabe für eine Materialaufwandsquote (einschließlich Fremdleister) hinterlegen.</t>
        </r>
      </text>
    </comment>
    <comment ref="E20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Hier können Sie eine Vorgabe für eine Fremdleisterquote hinterlegen.</t>
        </r>
      </text>
    </comment>
    <comment ref="E29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Hier können Sie eine Vorgabe für eine Steuerquote hinterlegen.</t>
        </r>
      </text>
    </comment>
    <comment ref="C35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Investitionen mit dem Vorzeichen (+) und Desinvestitionen mit dem Vorzeichen (-) eingeben.</t>
        </r>
      </text>
    </comment>
    <comment ref="R35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In die Berechnung werden die Abschreibungen aus der Ertragsplanung einbezogen.</t>
        </r>
      </text>
    </comment>
    <comment ref="C36" authorId="0">
      <text>
        <r>
          <rPr>
            <b/>
            <sz val="10"/>
            <rFont val="Candara"/>
            <family val="2"/>
          </rPr>
          <t xml:space="preserve">Hinweis:
</t>
        </r>
        <r>
          <rPr>
            <sz val="10"/>
            <rFont val="Candara"/>
            <family val="2"/>
          </rPr>
          <t>Einlagen/Kapitalerhöhungen mit dem Vorzeichen (+) und Entnahmen/Ausschüttungen mit dem Vorzeichen (-) eingeben.</t>
        </r>
      </text>
    </comment>
    <comment ref="R36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In die Berechnung wird das Ergebnis aus der Planung einbezogen.</t>
        </r>
      </text>
    </comment>
    <comment ref="C37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Neue Darlehen mit dem Vorzeichen (+) und Tilgungen mit dem Vorzeichen (-) eingeben.</t>
        </r>
      </text>
    </comment>
    <comment ref="C39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Erhöhungen mit dem Vorzeichen (+) und Verringerungen mit dem Vorzeichen (-) eingeben</t>
        </r>
        <r>
          <rPr>
            <sz val="9"/>
            <rFont val="Tahoma"/>
            <family val="2"/>
          </rPr>
          <t>.</t>
        </r>
      </text>
    </comment>
    <comment ref="C40" authorId="0">
      <text>
        <r>
          <rPr>
            <b/>
            <sz val="9"/>
            <rFont val="Tahoma"/>
            <family val="2"/>
          </rPr>
          <t>H</t>
        </r>
        <r>
          <rPr>
            <b/>
            <sz val="10"/>
            <rFont val="Candara"/>
            <family val="2"/>
          </rPr>
          <t>inweis:</t>
        </r>
        <r>
          <rPr>
            <sz val="10"/>
            <rFont val="Candara"/>
            <family val="2"/>
          </rPr>
          <t xml:space="preserve">
Erhöhungen mit dem Vorzeichen (+) und Verringerungen mit dem Vorzeichen (-) eingeben.</t>
        </r>
      </text>
    </comment>
    <comment ref="C41" authorId="0">
      <text>
        <r>
          <rPr>
            <b/>
            <sz val="10"/>
            <rFont val="Candara"/>
            <family val="2"/>
          </rPr>
          <t>Hinweis:</t>
        </r>
        <r>
          <rPr>
            <sz val="10"/>
            <rFont val="Candara"/>
            <family val="2"/>
          </rPr>
          <t xml:space="preserve">
Erhöhungen mit dem Vorzeichen (+) und Verringerungen mit dem Vorzeichen (-) eingeben</t>
        </r>
        <r>
          <rPr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<sst xmlns="http://schemas.openxmlformats.org/spreadsheetml/2006/main" count="275" uniqueCount="207">
  <si>
    <t>Betriebsergebnis</t>
  </si>
  <si>
    <t>Abschreibungen</t>
  </si>
  <si>
    <t>Debitoren</t>
  </si>
  <si>
    <t>Flüssige Mittel</t>
  </si>
  <si>
    <t>Sonstige Aktiva</t>
  </si>
  <si>
    <t>Kreditoren</t>
  </si>
  <si>
    <t>Sonstige Passiva</t>
  </si>
  <si>
    <t>=</t>
  </si>
  <si>
    <t>T€</t>
  </si>
  <si>
    <t>Umsatz</t>
  </si>
  <si>
    <t>Bestandsveränderungen</t>
  </si>
  <si>
    <t>Aktivierte Eigenleistungen</t>
  </si>
  <si>
    <t>Gesamtleistung</t>
  </si>
  <si>
    <t>Personalaufwand</t>
  </si>
  <si>
    <t>Deckungsbeitrag II</t>
  </si>
  <si>
    <t>Rohertrag (DB I)</t>
  </si>
  <si>
    <t>Zinsaufwand</t>
  </si>
  <si>
    <t>Sonstiger Aufwand</t>
  </si>
  <si>
    <t>Unternehmensergebnis</t>
  </si>
  <si>
    <t>Anlagevermögen</t>
  </si>
  <si>
    <t>Lager RHB</t>
  </si>
  <si>
    <t>geleistete Anzahlungen</t>
  </si>
  <si>
    <t>Erh. Anzahlungen</t>
  </si>
  <si>
    <t>Bilanzsumme</t>
  </si>
  <si>
    <t>Bilanzkennzahlen</t>
  </si>
  <si>
    <t>Anlagendeckung II</t>
  </si>
  <si>
    <t>Lagerdauer RHB</t>
  </si>
  <si>
    <t>Lagerdauer UFE/FE</t>
  </si>
  <si>
    <t>Debitorenlaufzeit</t>
  </si>
  <si>
    <t>Vorleistungsdauer</t>
  </si>
  <si>
    <t>Kreditorenlaufzeit</t>
  </si>
  <si>
    <t>EE-Steuern</t>
  </si>
  <si>
    <t>in T€</t>
  </si>
  <si>
    <t>langfr. Fremdkapital</t>
  </si>
  <si>
    <t>%</t>
  </si>
  <si>
    <t>Ver-änderung</t>
  </si>
  <si>
    <t>kurzfr. Bankverb.</t>
  </si>
  <si>
    <t>Wirt. Eigenkapital</t>
  </si>
  <si>
    <t>Eingabefelder hervorheben</t>
  </si>
  <si>
    <t>Ja</t>
  </si>
  <si>
    <t>Bearbeiter</t>
  </si>
  <si>
    <t>Veränderungen zum Ist-Jahr</t>
  </si>
  <si>
    <t>+</t>
  </si>
  <si>
    <t>Materialaufwand</t>
  </si>
  <si>
    <t>Firma</t>
  </si>
  <si>
    <t>Planjahr</t>
  </si>
  <si>
    <t>Anzahlungsdauer (gel.)</t>
  </si>
  <si>
    <t>kurzfr. Bankv.</t>
  </si>
  <si>
    <t>Darstellung in</t>
  </si>
  <si>
    <t>blau</t>
  </si>
  <si>
    <t>AZ.-Unterlegung UE/FE</t>
  </si>
  <si>
    <t>Lager UE/FE</t>
  </si>
  <si>
    <t>Neutrales Ergebnis</t>
  </si>
  <si>
    <t xml:space="preserve">   davon Fremdleister</t>
  </si>
  <si>
    <t>Zielwert</t>
  </si>
  <si>
    <t>Jahresbeginn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</si>
  <si>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</si>
  <si>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</si>
  <si>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</si>
  <si>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</si>
  <si>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</si>
  <si>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</si>
  <si>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</si>
  <si>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</si>
  <si>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</si>
  <si>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</si>
  <si>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</si>
  <si>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</si>
  <si>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Gewinn- und Verlustrechnung</t>
  </si>
  <si>
    <t>Jahreslänge in Monaten</t>
  </si>
  <si>
    <t>Summe</t>
  </si>
  <si>
    <t>Änderung sonstige Aktiva</t>
  </si>
  <si>
    <t>Änderung flüssige Mittel</t>
  </si>
  <si>
    <t>Änderung sonstige Passiva</t>
  </si>
  <si>
    <t>Veränderung Working Capital</t>
  </si>
  <si>
    <t>Finanzergebnis</t>
  </si>
  <si>
    <t>Veränderungen gel. Anzahlungen</t>
  </si>
  <si>
    <t xml:space="preserve">Abgleich der Ertragsplanung </t>
  </si>
  <si>
    <t>Startmonat für den Abgleich</t>
  </si>
  <si>
    <t>Endmonat für den Abgleich</t>
  </si>
  <si>
    <t>Plan</t>
  </si>
  <si>
    <t>Ist</t>
  </si>
  <si>
    <t>Abgleich</t>
  </si>
  <si>
    <t>Abgleich der Finanzplanung</t>
  </si>
  <si>
    <t>Investitionen / Desinvestitionen</t>
  </si>
  <si>
    <t>Einlagen / Entnahmen</t>
  </si>
  <si>
    <t>langfristige Finanzierungen</t>
  </si>
  <si>
    <t>Darstellung in:</t>
  </si>
  <si>
    <t>K U R Z E R L Ä U T E R U N G</t>
  </si>
  <si>
    <t>Ziel</t>
  </si>
  <si>
    <t>Allgemein</t>
  </si>
  <si>
    <t>- Durch Drop-Down-Menüs in der Kopfzeile lässt sich das Auswertungsblatt optisch gestalten.</t>
  </si>
  <si>
    <t>- Zum einen können zur erleicherten Eingabe die Eingabefelder farblich hervorgehoben werden.</t>
  </si>
  <si>
    <t>- Zum anderen kann die Farbgestaltung zwischen blau und grau gewechselt werden, wobei blau die</t>
  </si>
  <si>
    <t xml:space="preserve">  optimale Darstellung für Farbdrucke und grau die optimale Darstellung für Schwarzweizdrucke ist.</t>
  </si>
  <si>
    <t>Eingabe</t>
  </si>
  <si>
    <t>Interpretation</t>
  </si>
  <si>
    <t>- Ziel des Quick-Check Planung ist die Erstellung und der Abgleich einer zwar einfachen, aber integrierten</t>
  </si>
  <si>
    <t xml:space="preserve">  Ertrags-, Finanz- und Vermögensplanung.</t>
  </si>
  <si>
    <t>- Damit kann mit überschaubarem Aufwand eine Planung erstellt oder eine vorgelegte Planung</t>
  </si>
  <si>
    <t xml:space="preserve">  plausibilisiert werden und aus einer Ertragsplanung eine Finanzentwicklung abgeleitet werden.</t>
  </si>
  <si>
    <t>- Die Methode der Finanzplanung basiert auf dem Verfahren der statischen Finanzbedarfsermittlung.</t>
  </si>
  <si>
    <t xml:space="preserve">  Hierbei werden aus den Ist-Daten der GuV und Bilanz dynamische Kennzahlen gebildet und für das</t>
  </si>
  <si>
    <t xml:space="preserve">  Planjahr fortgeschrieben bzw. manuell verändert.</t>
  </si>
  <si>
    <t>- Die planmäßige Liquiditätsentwicklung resultiert in diesem Verfahren aus den direkten Auswirkungen</t>
  </si>
  <si>
    <t xml:space="preserve">  der Ertragsplanung (z.B. Gewinn), den direkt eingegebenen Finanzentwicklungen (z.B. Tilgungen) und</t>
  </si>
  <si>
    <t xml:space="preserve">  den voraussichtlichen Entwicklungen von kurzfristigem Vermögen und Verbindlichkeiten ("working</t>
  </si>
  <si>
    <t xml:space="preserve">  capital"), die aus der Fortschreibung bzw. manuellen Anpassung der dynamischen Kennzahlen und der</t>
  </si>
  <si>
    <t xml:space="preserve">  Ertragsplanung.</t>
  </si>
  <si>
    <t>- Zu beachten ist, dass das Verfahren eine Vereinfachung gegenüber einer dynamischen Ertrags- und</t>
  </si>
  <si>
    <t xml:space="preserve">  Finanzplanung darstellt und somit nicht die Exaktheit einer dynamischen planung erreicht.</t>
  </si>
  <si>
    <t xml:space="preserve">  - "Jahreswerte": hier werden ist Ist-Daten eingepflegt und die Jahreswerte der Planung dargestellt.</t>
  </si>
  <si>
    <t xml:space="preserve">  - "Monatswerte": hier wird die monatsgenaue Ertrags- und Finanzplanung vorgenommen.</t>
  </si>
  <si>
    <t xml:space="preserve">  - "Abgleich": Hier kann die Planung zu jedem Monat mit einer aktuellen BWA abgeglichen werden.</t>
  </si>
  <si>
    <t xml:space="preserve">  - Der Abgleich umfasst sowohl die Ertrags- als auch die Finanzkraft.</t>
  </si>
  <si>
    <t>- Eingabe der Stammdaten im Tabellenkopf des Blattes "Jahreswerte".</t>
  </si>
  <si>
    <t>- Eingabe der GuV- und Bilanzdaten im Blatt "Jahreswerte".</t>
  </si>
  <si>
    <t>- Eingabe von Ziel- oder Veränderungswerten der Jahresertragsplanung im Blatt "Jahreswerte".</t>
  </si>
  <si>
    <t>- Verfeinerung der Jahresertragsplanung zu einer Monatsertragsplanung im Blatt "Monatswerte".</t>
  </si>
  <si>
    <t xml:space="preserve">  Alternativ kann die Ertragsplanung direkt im Blatt "Monatswerte" erstellt werden und die Summe als</t>
  </si>
  <si>
    <t xml:space="preserve">  Zielwert in das Blatt "Jahreswerte" übertragen werden.</t>
  </si>
  <si>
    <t>- Eingabe der direkten planmäßigen Veränderungen in der Bilanz (z.B. Investitionen oder Tilgungen)</t>
  </si>
  <si>
    <t xml:space="preserve">  im Blatt "Monatswerte".</t>
  </si>
  <si>
    <t>- Ggf. Anpassung der dynamischen Kennzahlen zur Beeinflussung der Entwicklung des working capitals.</t>
  </si>
  <si>
    <t>- Eingabe aktualisierter Ist-Daten aus Jahresabschluss oder BWA für den Plan-Abgleich im Blatt "Abgleich".</t>
  </si>
  <si>
    <t>- Zur erleichterten Eingabe der variablen Aufwendungen (Material &amp; Fremdleister) sowie der Ertrags-</t>
  </si>
  <si>
    <t xml:space="preserve">  steuern können prozentuale Vorgaben hinterlegt werden, die vom System automatisch multipliziert</t>
  </si>
  <si>
    <t xml:space="preserve">  werden.</t>
  </si>
  <si>
    <t>- Abweichende Wirtschaftsjahre oder Rumpfjahre können durch entsprechende Eingaben im System</t>
  </si>
  <si>
    <t xml:space="preserve">  abgebildet werden.</t>
  </si>
  <si>
    <t>- Die monatlichen Ertragsdaten führen zu einem monatlichen Ergebnis. Üblicherweise schwankt das</t>
  </si>
  <si>
    <t xml:space="preserve">  erzielte Ergebnis entsprechend dem saisonalen Verlauf.</t>
  </si>
  <si>
    <t>- Ausgehend vom errechneten Ergebnis, den Einnahmen und Ausgaben aus der Bilanz wird ein</t>
  </si>
  <si>
    <t>- Das Finanzergebnis beeinflusst die Bestand an kurzfristigen Bankverbindlichkeiten (=Kontokorrent-</t>
  </si>
  <si>
    <t xml:space="preserve">  ausschöpfung). Somit wird ein sich über das Jahr verändernder Finanzbestand ausgewiesen, der </t>
  </si>
  <si>
    <t xml:space="preserve">  Spitzenbedarfe zum jeweiligen Monatsultimo sichtbar machen kann.</t>
  </si>
  <si>
    <t>- Aufgrund der vereinfachten Struktur der Planung werden typische Monatsüberhänge an Verbindlich-</t>
  </si>
  <si>
    <t xml:space="preserve">  keiten (Umsatzsteuer, Personalaufwand) nicht berücksichtigt. Dies führt zu einer vorsichtigigeren</t>
  </si>
  <si>
    <t xml:space="preserve">  Betrachtung.</t>
  </si>
  <si>
    <t xml:space="preserve">  monatliches Finanzergebnis errechnet. Die Herleitung befindet sich im Blatt "Monatswerte" ganz unten.</t>
  </si>
  <si>
    <t>-  Abweichungen im Planabgleich sollten hinterfragt werden nach den Ursachen. Somit erhält man</t>
  </si>
  <si>
    <t xml:space="preserve">  Gelegenheit rechtzeitig nachzusteuern und ggf. Positiventwicklungen zu verstärken oder Negativ-</t>
  </si>
  <si>
    <t xml:space="preserve">  entwicklungen zu stoppen.</t>
  </si>
  <si>
    <t>- Zu beachten bei der Entwicklung des planmäßigen Kontokorrentstands ist selbstverständlich der zur</t>
  </si>
  <si>
    <t xml:space="preserve">  Verfügung stehende Rahmen.</t>
  </si>
  <si>
    <t>Verfügbare Kreditlinien</t>
  </si>
  <si>
    <t>Über-/Unterdeckung</t>
  </si>
  <si>
    <t>Berechnung der Kapitaldienstfähigkeit</t>
  </si>
  <si>
    <t>+ Abschreibungen</t>
  </si>
  <si>
    <t>+ Zinsaufwendungen</t>
  </si>
  <si>
    <t>Erweiterter Cash-Flow</t>
  </si>
  <si>
    <t>- Leistungen an Gesellschafter</t>
  </si>
  <si>
    <t>- EE-Steuern</t>
  </si>
  <si>
    <t>- Selbstfinanzierte Ersatzinvestitonen</t>
  </si>
  <si>
    <t>+/- Sonstige Einnahmen / Ausgaben</t>
  </si>
  <si>
    <t>Kapitaldienstgrenze</t>
  </si>
  <si>
    <t>- Kapitaldienste</t>
  </si>
  <si>
    <t xml:space="preserve">   davon Zinsen</t>
  </si>
  <si>
    <t xml:space="preserve">   davon Tilgung</t>
  </si>
  <si>
    <t>Freier Cash-Flow</t>
  </si>
  <si>
    <t>Bemerkungen</t>
  </si>
  <si>
    <t>Ertragsalternativen zur 100%igen Auslastung der Kapitaldienstgrenze</t>
  </si>
  <si>
    <t>Veränderung Betriebsergebnis</t>
  </si>
  <si>
    <t>Gesamtleistung Preis</t>
  </si>
  <si>
    <t>Gesamtleistung Menge</t>
  </si>
  <si>
    <t>ZIEL-Rohertragsquote</t>
  </si>
  <si>
    <t>Summe Sachaufwand</t>
  </si>
  <si>
    <t>- Das System ist in vier Blätter gegliedert:</t>
  </si>
  <si>
    <t xml:space="preserve">  - "Kapitaldienstfähigkeit" leitet aus der Ertragskraft in bankentypischer Weise die Kennzahl der</t>
  </si>
  <si>
    <t xml:space="preserve">   Kapitaldienstfähigkeit ab. Diese Kennzahl dienst als Nachweis der Bonität und Kreditwürdigkeit.</t>
  </si>
  <si>
    <t xml:space="preserve">- Eingabe von nachhaltig wiederkehrenden Werten an Leistungen an Gesellschafter (z.B. Entnahmen), </t>
  </si>
  <si>
    <t xml:space="preserve">   Steuern, selbstfinanzierter Ersatzinvestitionen, sonstigen nachhaltigen Einnahmen und Ausgaben sowie </t>
  </si>
  <si>
    <t xml:space="preserve">   den Kapitaldiensten - aufgeschlüsselt nach Zins und Tilgung im Blatt "Kapitaldienstfähigkeit".</t>
  </si>
  <si>
    <t>-  Ein positiver freier Cash-Flow in der Kapitaldienstfähigkeit zeigt an, dass man mehr Geld verdient als</t>
  </si>
  <si>
    <t xml:space="preserve">   man nachhaltig ausgibt. Unterdeckungen zeigen dementsprechend an, wieviel man zu viel ausgibt.</t>
  </si>
  <si>
    <t>- Die Ertragsaltativen zeigen an, auf welche Werte das Unternehmen fallen bzw. steigen müsste.</t>
  </si>
  <si>
    <t xml:space="preserve">   um gerade Kapitaldienstfähig zu sein (Freier Cash-Flow = 0). Dies entspricht einer Weiterentwicklung</t>
  </si>
  <si>
    <t xml:space="preserve">   der klassischen Gewinnschwellenrechnung.</t>
  </si>
  <si>
    <t>- Ertragsplanung:</t>
  </si>
  <si>
    <t>- Die GuV-Werte über die "Monatswerte" planen und dann in den "Plan-Jahreswert" übernehmen.</t>
  </si>
  <si>
    <t>- In den "Monatswerten" wird eine Grundannahme von 1/12 der Umsatzerlöse angenommen. Diese</t>
  </si>
  <si>
    <t xml:space="preserve">  Annahme muss manuell überschrieben werden. Die Umsatzerlöse in der Coronazeit haben wir </t>
  </si>
  <si>
    <t xml:space="preserve">  exemplarisch auf Null gesetzt. Die normalen Monate sind mit normalem Umsatz geplant.</t>
  </si>
  <si>
    <t>- Die Materialeinsatzquote errechnet sich anhand der geplanten Umsätze automatisch.</t>
  </si>
  <si>
    <t>- Die Personalaufwendungen sind grundsätzlich über 1/12 gleichverteilt. Ggf. kann hier Kurzarbeitergeld</t>
  </si>
  <si>
    <t xml:space="preserve">  oder andere Personalmaßnahmen manuell eingepflegt werden.</t>
  </si>
  <si>
    <t>- Alle weiteren Aufwendungen können (müssen nicht) individuell geplant werden.</t>
  </si>
  <si>
    <t>- Finanzplanung:</t>
  </si>
  <si>
    <t>- Die Laufzeiten werden grundsätzlich statisch berechnet. Daher sind einige manuelle Eingriffe notwendig:</t>
  </si>
  <si>
    <t>- Das Lager wird anhand der Lagerdauer berechnet. Es ist zu erwarten, dass sich das Lager jedoch nicht</t>
  </si>
  <si>
    <t xml:space="preserve">  verändert. Daher muss das Lager über die Änderung der Lagerdauer im Absolutwert konstant gehalten</t>
  </si>
  <si>
    <t>- Die Debitorenlaufzeit reduziert sich sofort auf Null, sodass für die Zeit des Coronavirus keine Einnahmen</t>
  </si>
  <si>
    <t xml:space="preserve">  beim Unternehmen eingehen. Die Debitorenlaufzeit fängt normal nach Corona wieder an.</t>
  </si>
  <si>
    <t>- Die Kreditorenlaufzeit reduziert sich (in unserem Beispiel) in Schritten von 30 Tagen auf Null. Wir gehen</t>
  </si>
  <si>
    <t xml:space="preserve">  davon aus, dass sämtliche Kreditoren in diesem Szenario weiter bedient werden. Nachdem die</t>
  </si>
  <si>
    <t xml:space="preserve">  Kreditorenlaufzeit bei Null angelangt ist, setzt sie ebenfalls für den Coronazeitraum (hier drei Monate)</t>
  </si>
  <si>
    <t xml:space="preserve">  aus. Danach läuft die Kreditorenlaufzeit langsam wieder in das übliche Laufzeitband zurück.</t>
  </si>
  <si>
    <r>
      <t xml:space="preserve">- Ziel: </t>
    </r>
    <r>
      <rPr>
        <sz val="10"/>
        <color rgb="FF3F3F3E"/>
        <rFont val="Candara"/>
        <family val="2"/>
      </rPr>
      <t>Ableitung des Liquiditätsbedarfes in der Spitze während der Corona-Krise.</t>
    </r>
  </si>
  <si>
    <t>Corona Hinweise</t>
  </si>
  <si>
    <t>Nachfolgende Hinweise sind für die Corona-Krisenzeiten relevant.</t>
  </si>
  <si>
    <t>Diese finden Sie außerdem im Beispielfall.</t>
  </si>
  <si>
    <t xml:space="preserve">   in Kooperation mit</t>
  </si>
  <si>
    <r>
      <t xml:space="preserve">Q U I C K - C H E C K  </t>
    </r>
    <r>
      <rPr>
        <i/>
        <sz val="12"/>
        <color theme="0"/>
        <rFont val="Candara"/>
        <family val="2"/>
      </rPr>
      <t xml:space="preserve"> PLANUNG </t>
    </r>
    <r>
      <rPr>
        <vertAlign val="superscript"/>
        <sz val="12"/>
        <color theme="0"/>
        <rFont val="Candara"/>
        <family val="2"/>
      </rPr>
      <t>©</t>
    </r>
  </si>
  <si>
    <t>Version 2020.02 - www.rdg-gmbh.de</t>
  </si>
  <si>
    <t xml:space="preserve">      in Kooperation mit</t>
  </si>
  <si>
    <t xml:space="preserve">             in Kooperation mit</t>
  </si>
  <si>
    <r>
      <t xml:space="preserve">Q U I C K - C H E C K  </t>
    </r>
    <r>
      <rPr>
        <b/>
        <sz val="12"/>
        <color theme="0"/>
        <rFont val="Candara"/>
        <family val="2"/>
      </rPr>
      <t xml:space="preserve"> </t>
    </r>
    <r>
      <rPr>
        <i/>
        <sz val="12"/>
        <color theme="0"/>
        <rFont val="Candara"/>
        <family val="2"/>
      </rPr>
      <t xml:space="preserve">PLANUNG </t>
    </r>
    <r>
      <rPr>
        <vertAlign val="superscript"/>
        <sz val="12"/>
        <color theme="0"/>
        <rFont val="Candara"/>
        <family val="2"/>
      </rPr>
      <t>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</si>
</sst>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&quot;/ &quot;0"/>
    <numFmt numFmtId="167" formatCode="mmm"/>
    <numFmt numFmtId="168" formatCode="dd/mm/yy"/>
    <numFmt numFmtId="169" formatCode="mmmm"/>
    <numFmt numFmtId="170" formatCode="dd/mm/yy;@"/>
    <numFmt numFmtId="171" formatCode="mmmm\ yyyy"/>
  </numFmts>
  <fonts count="35">
    <font>
      <sz val="10"/>
      <name val="CG Omega"/>
      <family val="2"/>
    </font>
    <font>
      <sz val="10"/>
      <name val="Arial"/>
      <family val="2"/>
    </font>
    <font>
      <b/>
      <sz val="10"/>
      <name val="Candara"/>
      <family val="2"/>
    </font>
    <font>
      <sz val="10"/>
      <name val="Candara"/>
      <family val="2"/>
    </font>
    <font>
      <sz val="10"/>
      <color rgb="FF3F3F3E"/>
      <name val="Candara"/>
      <family val="2"/>
    </font>
    <font>
      <sz val="8"/>
      <color rgb="FF3F3F3E"/>
      <name val="Candara"/>
      <family val="2"/>
    </font>
    <font>
      <b/>
      <sz val="11"/>
      <color rgb="FF3F3F3E"/>
      <name val="Candara"/>
      <family val="2"/>
    </font>
    <font>
      <b/>
      <sz val="9"/>
      <color rgb="FF3F3F3E"/>
      <name val="Candara"/>
      <family val="2"/>
    </font>
    <font>
      <sz val="10"/>
      <color theme="0"/>
      <name val="Candara"/>
      <family val="2"/>
    </font>
    <font>
      <sz val="8"/>
      <color theme="0"/>
      <name val="Candara"/>
      <family val="2"/>
    </font>
    <font>
      <sz val="11"/>
      <color theme="0"/>
      <name val="Candara"/>
      <family val="2"/>
    </font>
    <font>
      <b/>
      <sz val="14"/>
      <color theme="0"/>
      <name val="Candara"/>
      <family val="2"/>
    </font>
    <font>
      <b/>
      <sz val="10"/>
      <color rgb="FF3F3F3E"/>
      <name val="Candara"/>
      <family val="2"/>
    </font>
    <font>
      <i/>
      <sz val="12"/>
      <color theme="0"/>
      <name val="Candara"/>
      <family val="2"/>
    </font>
    <font>
      <vertAlign val="superscript"/>
      <sz val="12"/>
      <color theme="0"/>
      <name val="Candar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G Omega"/>
      <family val="2"/>
    </font>
    <font>
      <sz val="8"/>
      <name val="CG Omega"/>
      <family val="2"/>
    </font>
    <font>
      <b/>
      <sz val="8"/>
      <color rgb="FF3F3F3E"/>
      <name val="Candara"/>
      <family val="2"/>
    </font>
    <font>
      <i/>
      <sz val="8"/>
      <color rgb="FF3F3F3E"/>
      <name val="Candara"/>
      <family val="2"/>
    </font>
    <font>
      <b/>
      <sz val="10"/>
      <color theme="0"/>
      <name val="Candara"/>
      <family val="2"/>
    </font>
    <font>
      <sz val="10"/>
      <color rgb="FF3F3F3E"/>
      <name val="CG Omega"/>
      <family val="2"/>
    </font>
    <font>
      <b/>
      <sz val="8"/>
      <color theme="0"/>
      <name val="Candara"/>
      <family val="2"/>
    </font>
    <font>
      <sz val="11"/>
      <color rgb="FF3F3F3E"/>
      <name val="Candara"/>
      <family val="2"/>
    </font>
    <font>
      <sz val="11"/>
      <color rgb="FF3F3F3E"/>
      <name val="CG Omega"/>
      <family val="2"/>
    </font>
    <font>
      <b/>
      <sz val="11"/>
      <color rgb="FF3F3F3E"/>
      <name val="CG Omega"/>
      <family val="2"/>
    </font>
    <font>
      <sz val="11"/>
      <color theme="1"/>
      <name val="Candara"/>
      <family val="2"/>
    </font>
    <font>
      <b/>
      <sz val="12"/>
      <color theme="0"/>
      <name val="Candara"/>
      <family val="2"/>
    </font>
    <font>
      <sz val="10"/>
      <name val="Times New Roman"/>
      <family val="1"/>
    </font>
    <font>
      <b/>
      <sz val="11"/>
      <color theme="0"/>
      <name val="Candara"/>
      <family val="2"/>
    </font>
    <font>
      <b/>
      <sz val="11"/>
      <color theme="1"/>
      <name val="Candara"/>
      <family val="2"/>
    </font>
    <font>
      <sz val="7"/>
      <name val="CG Omega"/>
      <family val="2"/>
    </font>
    <font>
      <b/>
      <sz val="14"/>
      <color rgb="FFA6000B"/>
      <name val="Candara"/>
      <family val="2"/>
    </font>
    <font>
      <b/>
      <sz val="8"/>
      <name val="CG Omega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988"/>
        <bgColor indexed="64"/>
      </patternFill>
    </fill>
    <fill>
      <patternFill patternType="solid">
        <fgColor rgb="FFD6E5FF"/>
        <bgColor indexed="64"/>
      </patternFill>
    </fill>
    <fill>
      <patternFill patternType="solid">
        <fgColor rgb="FFDCA200"/>
        <bgColor indexed="64"/>
      </patternFill>
    </fill>
    <fill>
      <patternFill patternType="solid">
        <fgColor rgb="FFA6000B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/>
      <top style="thin">
        <color rgb="FFB2B2B2"/>
      </top>
      <bottom/>
    </border>
    <border>
      <left/>
      <right/>
      <top style="thin">
        <color rgb="FFB2B2B2"/>
      </top>
      <bottom/>
    </border>
    <border>
      <left/>
      <right style="thin">
        <color rgb="FFB2B2B2"/>
      </right>
      <top style="thin">
        <color rgb="FFB2B2B2"/>
      </top>
      <bottom/>
    </border>
    <border>
      <left style="thin">
        <color rgb="FFB2B2B2"/>
      </left>
      <right/>
      <top/>
      <bottom/>
    </border>
    <border>
      <left/>
      <right style="thin">
        <color rgb="FFB2B2B2"/>
      </right>
      <top/>
      <bottom/>
    </border>
    <border>
      <left style="thin">
        <color rgb="FFB2B2B2"/>
      </left>
      <right/>
      <top/>
      <bottom style="thin">
        <color rgb="FFB2B2B2"/>
      </bottom>
    </border>
    <border>
      <left/>
      <right/>
      <top/>
      <bottom style="thin">
        <color rgb="FFB2B2B2"/>
      </bottom>
    </border>
    <border>
      <left/>
      <right style="thin">
        <color rgb="FFB2B2B2"/>
      </right>
      <top/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/>
    </border>
    <border>
      <left style="thin">
        <color rgb="FFB2B2B2"/>
      </left>
      <right style="thin">
        <color rgb="FFB2B2B2"/>
      </right>
      <top/>
      <bottom/>
    </border>
    <border>
      <left style="thin">
        <color rgb="FFB2B2B2"/>
      </left>
      <right style="thin">
        <color rgb="FFB2B2B2"/>
      </right>
      <top/>
      <bottom style="thin">
        <color rgb="FFB2B2B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>
      <alignment/>
      <protection/>
    </xf>
    <xf numFmtId="0" fontId="29" fillId="0" borderId="0">
      <alignment/>
      <protection/>
    </xf>
    <xf numFmtId="9" fontId="29" fillId="0" borderId="0" applyFont="0" applyFill="0" applyBorder="0" applyAlignment="0" applyProtection="0"/>
    <xf numFmtId="170" fontId="32" fillId="2" borderId="0">
      <alignment/>
      <protection hidden="1"/>
    </xf>
    <xf numFmtId="0" fontId="18" fillId="0" borderId="0">
      <alignment/>
      <protection hidden="1"/>
    </xf>
  </cellStyleXfs>
  <cellXfs count="432">
    <xf numFmtId="0" fontId="0" fillId="0" borderId="0" xfId="0"/>
    <xf numFmtId="0" fontId="4" fillId="0" borderId="0" xfId="0" applyFont="1" applyBorder="1" applyProtection="1">
      <protection hidden="1"/>
    </xf>
    <xf numFmtId="0" fontId="5" fillId="0" borderId="0" xfId="0" applyFont="1" applyBorder="1" applyProtection="1">
      <protection hidden="1"/>
    </xf>
    <xf numFmtId="164" fontId="5" fillId="0" borderId="0" xfId="0" applyNumberFormat="1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3" fontId="4" fillId="3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right"/>
      <protection hidden="1"/>
    </xf>
    <xf numFmtId="0" fontId="4" fillId="3" borderId="0" xfId="0" applyFont="1" applyFill="1" applyBorder="1" applyProtection="1">
      <protection locked="0"/>
    </xf>
    <xf numFmtId="3" fontId="4" fillId="0" borderId="0" xfId="0" applyNumberFormat="1" applyFont="1" applyBorder="1" applyProtection="1">
      <protection hidden="1"/>
    </xf>
    <xf numFmtId="164" fontId="5" fillId="0" borderId="0" xfId="0" applyNumberFormat="1" applyFont="1" applyBorder="1" applyAlignment="1" applyProtection="1">
      <alignment horizontal="right"/>
      <protection/>
    </xf>
    <xf numFmtId="165" fontId="5" fillId="0" borderId="0" xfId="0" applyNumberFormat="1" applyFont="1" applyBorder="1" applyAlignment="1" applyProtection="1">
      <alignment horizontal="right"/>
      <protection/>
    </xf>
    <xf numFmtId="3" fontId="4" fillId="3" borderId="0" xfId="0" applyNumberFormat="1" applyFont="1" applyFill="1" applyBorder="1" applyProtection="1">
      <protection hidden="1"/>
    </xf>
    <xf numFmtId="0" fontId="7" fillId="0" borderId="0" xfId="0" applyFont="1" applyBorder="1" applyAlignment="1" applyProtection="1">
      <alignment horizontal="center"/>
      <protection hidden="1"/>
    </xf>
    <xf numFmtId="164" fontId="5" fillId="0" borderId="0" xfId="0" applyNumberFormat="1" applyFont="1" applyBorder="1" applyProtection="1">
      <protection/>
    </xf>
    <xf numFmtId="3" fontId="6" fillId="3" borderId="0" xfId="0" applyNumberFormat="1" applyFont="1" applyFill="1" applyBorder="1" applyProtection="1">
      <protection locked="0"/>
    </xf>
    <xf numFmtId="3" fontId="6" fillId="0" borderId="0" xfId="0" applyNumberFormat="1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4" fillId="0" borderId="0" xfId="0" applyNumberFormat="1" applyFont="1" applyBorder="1" applyProtection="1">
      <protection hidden="1"/>
    </xf>
    <xf numFmtId="165" fontId="4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/>
    </xf>
    <xf numFmtId="165" fontId="4" fillId="0" borderId="0" xfId="0" applyNumberFormat="1" applyFont="1" applyBorder="1" applyProtection="1"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164" fontId="9" fillId="4" borderId="0" xfId="0" applyNumberFormat="1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center"/>
      <protection hidden="1"/>
    </xf>
    <xf numFmtId="0" fontId="9" fillId="4" borderId="0" xfId="0" applyFont="1" applyFill="1" applyBorder="1" applyProtection="1">
      <protection hidden="1"/>
    </xf>
    <xf numFmtId="0" fontId="8" fillId="4" borderId="0" xfId="0" applyFont="1" applyFill="1" applyBorder="1" applyProtection="1"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164" fontId="5" fillId="0" borderId="0" xfId="0" applyNumberFormat="1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1" fillId="4" borderId="0" xfId="0" applyFont="1" applyFill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9" fillId="4" borderId="1" xfId="0" applyFont="1" applyFill="1" applyBorder="1" applyProtection="1">
      <protection hidden="1"/>
    </xf>
    <xf numFmtId="0" fontId="8" fillId="4" borderId="2" xfId="0" applyFont="1" applyFill="1" applyBorder="1" applyAlignment="1" applyProtection="1">
      <alignment horizontal="right"/>
      <protection hidden="1"/>
    </xf>
    <xf numFmtId="0" fontId="8" fillId="4" borderId="2" xfId="0" applyFont="1" applyFill="1" applyBorder="1" applyAlignment="1" applyProtection="1">
      <alignment horizontal="center"/>
      <protection hidden="1"/>
    </xf>
    <xf numFmtId="164" fontId="9" fillId="4" borderId="2" xfId="0" applyNumberFormat="1" applyFont="1" applyFill="1" applyBorder="1" applyProtection="1">
      <protection hidden="1"/>
    </xf>
    <xf numFmtId="0" fontId="9" fillId="4" borderId="2" xfId="0" applyFont="1" applyFill="1" applyBorder="1" applyProtection="1">
      <protection hidden="1"/>
    </xf>
    <xf numFmtId="0" fontId="8" fillId="4" borderId="2" xfId="0" applyFont="1" applyFill="1" applyBorder="1" applyProtection="1">
      <protection hidden="1"/>
    </xf>
    <xf numFmtId="0" fontId="9" fillId="4" borderId="3" xfId="0" applyFont="1" applyFill="1" applyBorder="1" applyAlignment="1" applyProtection="1">
      <alignment horizontal="right"/>
      <protection hidden="1"/>
    </xf>
    <xf numFmtId="0" fontId="9" fillId="4" borderId="4" xfId="0" applyFont="1" applyFill="1" applyBorder="1" applyProtection="1">
      <protection hidden="1"/>
    </xf>
    <xf numFmtId="0" fontId="9" fillId="4" borderId="5" xfId="0" applyFont="1" applyFill="1" applyBorder="1" applyAlignment="1" applyProtection="1">
      <alignment horizontal="right"/>
      <protection hidden="1"/>
    </xf>
    <xf numFmtId="0" fontId="9" fillId="4" borderId="6" xfId="0" applyFont="1" applyFill="1" applyBorder="1" applyProtection="1">
      <protection hidden="1"/>
    </xf>
    <xf numFmtId="0" fontId="8" fillId="4" borderId="7" xfId="0" applyFont="1" applyFill="1" applyBorder="1" applyProtection="1">
      <protection hidden="1"/>
    </xf>
    <xf numFmtId="164" fontId="9" fillId="4" borderId="7" xfId="0" applyNumberFormat="1" applyFont="1" applyFill="1" applyBorder="1" applyProtection="1">
      <protection hidden="1"/>
    </xf>
    <xf numFmtId="0" fontId="9" fillId="4" borderId="7" xfId="0" applyFont="1" applyFill="1" applyBorder="1" applyProtection="1">
      <protection hidden="1"/>
    </xf>
    <xf numFmtId="0" fontId="9" fillId="4" borderId="8" xfId="0" applyFont="1" applyFill="1" applyBorder="1" applyAlignment="1" applyProtection="1">
      <alignment horizontal="right"/>
      <protection hidden="1"/>
    </xf>
    <xf numFmtId="0" fontId="5" fillId="0" borderId="1" xfId="0" applyFont="1" applyBorder="1" applyProtection="1">
      <protection hidden="1"/>
    </xf>
    <xf numFmtId="0" fontId="4" fillId="0" borderId="2" xfId="0" applyFont="1" applyBorder="1" applyProtection="1"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5" fillId="0" borderId="5" xfId="0" applyFont="1" applyBorder="1" applyAlignment="1" applyProtection="1">
      <alignment horizontal="center"/>
      <protection hidden="1"/>
    </xf>
    <xf numFmtId="0" fontId="5" fillId="0" borderId="4" xfId="0" applyFont="1" applyBorder="1" applyProtection="1">
      <protection hidden="1"/>
    </xf>
    <xf numFmtId="164" fontId="5" fillId="0" borderId="5" xfId="0" applyNumberFormat="1" applyFont="1" applyBorder="1" applyAlignment="1" applyProtection="1">
      <alignment horizontal="right"/>
      <protection/>
    </xf>
    <xf numFmtId="164" fontId="5" fillId="0" borderId="5" xfId="0" applyNumberFormat="1" applyFont="1" applyBorder="1" applyProtection="1">
      <protection/>
    </xf>
    <xf numFmtId="164" fontId="5" fillId="0" borderId="5" xfId="0" applyNumberFormat="1" applyFont="1" applyBorder="1" applyProtection="1">
      <protection hidden="1"/>
    </xf>
    <xf numFmtId="165" fontId="5" fillId="0" borderId="5" xfId="0" applyNumberFormat="1" applyFont="1" applyBorder="1" applyProtection="1">
      <protection/>
    </xf>
    <xf numFmtId="0" fontId="5" fillId="0" borderId="5" xfId="0" applyFont="1" applyBorder="1" applyProtection="1">
      <protection hidden="1"/>
    </xf>
    <xf numFmtId="0" fontId="12" fillId="0" borderId="2" xfId="0" applyFont="1" applyBorder="1" applyProtection="1">
      <protection hidden="1"/>
    </xf>
    <xf numFmtId="164" fontId="5" fillId="0" borderId="2" xfId="0" applyNumberFormat="1" applyFont="1" applyBorder="1" applyProtection="1">
      <protection hidden="1"/>
    </xf>
    <xf numFmtId="0" fontId="5" fillId="0" borderId="3" xfId="0" applyFont="1" applyBorder="1" applyProtection="1">
      <protection hidden="1"/>
    </xf>
    <xf numFmtId="3" fontId="4" fillId="3" borderId="5" xfId="0" applyNumberFormat="1" applyFont="1" applyFill="1" applyBorder="1" applyProtection="1">
      <protection locked="0"/>
    </xf>
    <xf numFmtId="0" fontId="5" fillId="0" borderId="2" xfId="0" applyFont="1" applyBorder="1" applyProtection="1">
      <protection hidden="1"/>
    </xf>
    <xf numFmtId="165" fontId="5" fillId="0" borderId="5" xfId="0" applyNumberFormat="1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/>
    </xf>
    <xf numFmtId="0" fontId="5" fillId="0" borderId="5" xfId="0" applyFont="1" applyBorder="1" applyAlignment="1" applyProtection="1">
      <alignment horizontal="right"/>
      <protection hidden="1"/>
    </xf>
    <xf numFmtId="0" fontId="5" fillId="0" borderId="3" xfId="0" applyFont="1" applyBorder="1" applyAlignment="1" applyProtection="1">
      <alignment horizontal="right"/>
      <protection hidden="1"/>
    </xf>
    <xf numFmtId="3" fontId="4" fillId="0" borderId="5" xfId="0" applyNumberFormat="1" applyFont="1" applyBorder="1" applyAlignment="1" applyProtection="1">
      <alignment horizontal="right"/>
      <protection hidden="1"/>
    </xf>
    <xf numFmtId="0" fontId="9" fillId="4" borderId="9" xfId="0" applyFont="1" applyFill="1" applyBorder="1" applyAlignment="1" applyProtection="1">
      <alignment vertical="center"/>
      <protection hidden="1"/>
    </xf>
    <xf numFmtId="0" fontId="8" fillId="4" borderId="10" xfId="0" applyFont="1" applyFill="1" applyBorder="1" applyAlignment="1" applyProtection="1">
      <alignment vertical="center"/>
      <protection hidden="1"/>
    </xf>
    <xf numFmtId="3" fontId="8" fillId="4" borderId="10" xfId="0" applyNumberFormat="1" applyFont="1" applyFill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3" fontId="4" fillId="3" borderId="0" xfId="0" applyNumberFormat="1" applyFont="1" applyFill="1" applyBorder="1" applyAlignment="1" applyProtection="1">
      <alignment vertical="center"/>
      <protection hidden="1"/>
    </xf>
    <xf numFmtId="3" fontId="4" fillId="3" borderId="5" xfId="0" applyNumberFormat="1" applyFont="1" applyFill="1" applyBorder="1" applyAlignment="1" applyProtection="1">
      <alignment vertical="center"/>
      <protection hidden="1"/>
    </xf>
    <xf numFmtId="165" fontId="9" fillId="4" borderId="11" xfId="0" applyNumberFormat="1" applyFont="1" applyFill="1" applyBorder="1" applyAlignment="1" applyProtection="1">
      <alignment horizontal="right" vertical="center"/>
      <protection/>
    </xf>
    <xf numFmtId="3" fontId="4" fillId="0" borderId="8" xfId="0" applyNumberFormat="1" applyFont="1" applyBorder="1" applyAlignment="1" applyProtection="1">
      <alignment vertical="center"/>
      <protection hidden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5" fillId="0" borderId="5" xfId="0" applyNumberFormat="1" applyFont="1" applyBorder="1" applyAlignment="1" applyProtection="1">
      <alignment horizontal="right" vertical="center"/>
      <protection/>
    </xf>
    <xf numFmtId="3" fontId="4" fillId="3" borderId="5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  <protection hidden="1"/>
    </xf>
    <xf numFmtId="165" fontId="5" fillId="0" borderId="0" xfId="0" applyNumberFormat="1" applyFont="1" applyBorder="1" applyAlignment="1" applyProtection="1">
      <alignment horizontal="right" vertical="center"/>
      <protection/>
    </xf>
    <xf numFmtId="165" fontId="5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top"/>
      <protection hidden="1"/>
    </xf>
    <xf numFmtId="0" fontId="5" fillId="0" borderId="4" xfId="0" applyFont="1" applyBorder="1" applyAlignment="1" applyProtection="1">
      <alignment vertical="top"/>
      <protection hidden="1"/>
    </xf>
    <xf numFmtId="3" fontId="4" fillId="0" borderId="0" xfId="0" applyNumberFormat="1" applyFont="1" applyFill="1" applyBorder="1" applyAlignment="1" applyProtection="1">
      <alignment vertical="top"/>
      <protection locked="0"/>
    </xf>
    <xf numFmtId="164" fontId="5" fillId="0" borderId="5" xfId="0" applyNumberFormat="1" applyFont="1" applyBorder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3" fontId="4" fillId="3" borderId="5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Border="1" applyAlignment="1" applyProtection="1">
      <alignment vertical="top"/>
      <protection hidden="1"/>
    </xf>
    <xf numFmtId="165" fontId="5" fillId="0" borderId="0" xfId="0" applyNumberFormat="1" applyFont="1" applyBorder="1" applyAlignment="1" applyProtection="1">
      <alignment horizontal="right" vertical="top"/>
      <protection/>
    </xf>
    <xf numFmtId="165" fontId="5" fillId="0" borderId="5" xfId="0" applyNumberFormat="1" applyFont="1" applyBorder="1" applyAlignment="1" applyProtection="1">
      <alignment horizontal="right" vertical="top"/>
      <protection/>
    </xf>
    <xf numFmtId="0" fontId="5" fillId="0" borderId="4" xfId="0" applyFont="1" applyBorder="1" applyAlignment="1" applyProtection="1">
      <alignment horizontal="right" vertical="top"/>
      <protection hidden="1"/>
    </xf>
    <xf numFmtId="3" fontId="4" fillId="0" borderId="0" xfId="0" applyNumberFormat="1" applyFont="1" applyBorder="1" applyAlignment="1" applyProtection="1">
      <alignment wrapText="1"/>
      <protection hidden="1"/>
    </xf>
    <xf numFmtId="3" fontId="4" fillId="3" borderId="4" xfId="0" applyNumberFormat="1" applyFont="1" applyFill="1" applyBorder="1" applyProtection="1">
      <protection locked="0"/>
    </xf>
    <xf numFmtId="3" fontId="4" fillId="3" borderId="4" xfId="0" applyNumberFormat="1" applyFont="1" applyFill="1" applyBorder="1" applyAlignment="1" applyProtection="1">
      <alignment vertical="top"/>
      <protection locked="0"/>
    </xf>
    <xf numFmtId="3" fontId="4" fillId="3" borderId="4" xfId="0" applyNumberFormat="1" applyFont="1" applyFill="1" applyBorder="1" applyAlignment="1" applyProtection="1">
      <alignment vertical="center"/>
      <protection hidden="1"/>
    </xf>
    <xf numFmtId="3" fontId="4" fillId="3" borderId="4" xfId="0" applyNumberFormat="1" applyFont="1" applyFill="1" applyBorder="1" applyAlignment="1" applyProtection="1">
      <alignment vertical="center"/>
      <protection locked="0"/>
    </xf>
    <xf numFmtId="3" fontId="4" fillId="0" borderId="6" xfId="0" applyNumberFormat="1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horizontal="right"/>
      <protection hidden="1"/>
    </xf>
    <xf numFmtId="3" fontId="4" fillId="0" borderId="0" xfId="0" applyNumberFormat="1" applyFont="1" applyFill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10" fillId="4" borderId="0" xfId="0" applyFont="1" applyFill="1" applyBorder="1" applyAlignment="1" applyProtection="1">
      <alignment horizontal="left"/>
      <protection/>
    </xf>
    <xf numFmtId="166" fontId="8" fillId="4" borderId="0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Border="1" applyAlignment="1" applyProtection="1">
      <alignment vertical="center"/>
      <protection hidden="1"/>
    </xf>
    <xf numFmtId="167" fontId="5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Fill="1" applyBorder="1" applyProtection="1">
      <protection hidden="1"/>
    </xf>
    <xf numFmtId="1" fontId="5" fillId="0" borderId="0" xfId="0" applyNumberFormat="1" applyFont="1" applyFill="1" applyBorder="1" applyProtection="1"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1" fontId="4" fillId="0" borderId="0" xfId="0" applyNumberFormat="1" applyFont="1" applyBorder="1" applyAlignment="1" applyProtection="1">
      <alignment/>
      <protection hidden="1"/>
    </xf>
    <xf numFmtId="168" fontId="5" fillId="0" borderId="0" xfId="0" applyNumberFormat="1" applyFont="1" applyBorder="1" applyAlignment="1" applyProtection="1">
      <alignment horizontal="center"/>
      <protection hidden="1"/>
    </xf>
    <xf numFmtId="0" fontId="20" fillId="0" borderId="4" xfId="0" applyFont="1" applyBorder="1" applyAlignment="1" applyProtection="1">
      <alignment vertical="top"/>
      <protection hidden="1"/>
    </xf>
    <xf numFmtId="165" fontId="20" fillId="0" borderId="5" xfId="0" applyNumberFormat="1" applyFont="1" applyBorder="1" applyAlignment="1" applyProtection="1">
      <alignment horizontal="right" vertical="top"/>
      <protection/>
    </xf>
    <xf numFmtId="164" fontId="5" fillId="3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vertical="top"/>
      <protection hidden="1"/>
    </xf>
    <xf numFmtId="164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 vertical="center"/>
      <protection/>
    </xf>
    <xf numFmtId="3" fontId="4" fillId="0" borderId="0" xfId="0" applyNumberFormat="1" applyFont="1" applyFill="1" applyBorder="1" applyProtection="1"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3" fontId="4" fillId="3" borderId="0" xfId="0" applyNumberFormat="1" applyFont="1" applyFill="1" applyBorder="1" applyProtection="1">
      <protection/>
    </xf>
    <xf numFmtId="0" fontId="20" fillId="0" borderId="4" xfId="0" applyFont="1" applyBorder="1" applyAlignment="1" applyProtection="1">
      <alignment/>
      <protection hidden="1"/>
    </xf>
    <xf numFmtId="165" fontId="20" fillId="0" borderId="5" xfId="0" applyNumberFormat="1" applyFont="1" applyBorder="1" applyAlignment="1" applyProtection="1">
      <alignment horizontal="right"/>
      <protection/>
    </xf>
    <xf numFmtId="3" fontId="4" fillId="3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 hidden="1"/>
    </xf>
    <xf numFmtId="0" fontId="9" fillId="0" borderId="9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3" fontId="8" fillId="0" borderId="10" xfId="0" applyNumberFormat="1" applyFont="1" applyFill="1" applyBorder="1" applyAlignment="1" applyProtection="1">
      <alignment vertical="center"/>
      <protection hidden="1"/>
    </xf>
    <xf numFmtId="165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3" borderId="0" xfId="0" applyNumberFormat="1" applyFont="1" applyFill="1" applyBorder="1" applyAlignment="1" applyProtection="1">
      <alignment vertical="top"/>
      <protection/>
    </xf>
    <xf numFmtId="0" fontId="19" fillId="0" borderId="2" xfId="0" applyFont="1" applyBorder="1" applyProtection="1">
      <protection hidden="1"/>
    </xf>
    <xf numFmtId="164" fontId="4" fillId="0" borderId="0" xfId="0" applyNumberFormat="1" applyFont="1" applyBorder="1" applyProtection="1"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7" fontId="5" fillId="0" borderId="1" xfId="0" applyNumberFormat="1" applyFont="1" applyBorder="1" applyAlignment="1" applyProtection="1">
      <alignment horizontal="center"/>
      <protection hidden="1"/>
    </xf>
    <xf numFmtId="167" fontId="5" fillId="0" borderId="2" xfId="0" applyNumberFormat="1" applyFont="1" applyBorder="1" applyAlignment="1" applyProtection="1">
      <alignment horizontal="center"/>
      <protection hidden="1"/>
    </xf>
    <xf numFmtId="167" fontId="5" fillId="0" borderId="3" xfId="0" applyNumberFormat="1" applyFont="1" applyBorder="1" applyAlignment="1" applyProtection="1">
      <alignment horizontal="center"/>
      <protection hidden="1"/>
    </xf>
    <xf numFmtId="3" fontId="4" fillId="0" borderId="6" xfId="0" applyNumberFormat="1" applyFont="1" applyFill="1" applyBorder="1" applyAlignment="1" applyProtection="1">
      <alignment vertical="top"/>
      <protection locked="0"/>
    </xf>
    <xf numFmtId="3" fontId="4" fillId="0" borderId="7" xfId="0" applyNumberFormat="1" applyFont="1" applyFill="1" applyBorder="1" applyAlignment="1" applyProtection="1">
      <alignment vertical="top"/>
      <protection locked="0"/>
    </xf>
    <xf numFmtId="3" fontId="4" fillId="0" borderId="8" xfId="0" applyNumberFormat="1" applyFont="1" applyFill="1" applyBorder="1" applyAlignment="1" applyProtection="1">
      <alignment vertical="top"/>
      <protection locked="0"/>
    </xf>
    <xf numFmtId="3" fontId="4" fillId="0" borderId="1" xfId="0" applyNumberFormat="1" applyFont="1" applyFill="1" applyBorder="1" applyProtection="1"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3" borderId="1" xfId="0" applyNumberFormat="1" applyFont="1" applyFill="1" applyBorder="1" applyProtection="1">
      <protection locked="0"/>
    </xf>
    <xf numFmtId="3" fontId="4" fillId="0" borderId="3" xfId="0" applyNumberFormat="1" applyFont="1" applyFill="1" applyBorder="1" applyProtection="1"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3" borderId="3" xfId="0" applyNumberFormat="1" applyFont="1" applyFill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4" xfId="0" applyNumberFormat="1" applyFont="1" applyFill="1" applyBorder="1" applyAlignment="1" applyProtection="1">
      <alignment/>
      <protection locked="0"/>
    </xf>
    <xf numFmtId="3" fontId="4" fillId="0" borderId="4" xfId="0" applyNumberFormat="1" applyFont="1" applyFill="1" applyBorder="1" applyAlignment="1" applyProtection="1">
      <alignment vertical="top"/>
      <protection locked="0"/>
    </xf>
    <xf numFmtId="3" fontId="4" fillId="0" borderId="4" xfId="0" applyNumberFormat="1" applyFont="1" applyFill="1" applyBorder="1" applyAlignment="1" applyProtection="1">
      <alignment/>
      <protection/>
    </xf>
    <xf numFmtId="3" fontId="4" fillId="0" borderId="4" xfId="0" applyNumberFormat="1" applyFont="1" applyFill="1" applyBorder="1" applyAlignment="1" applyProtection="1">
      <alignment vertical="center"/>
      <protection/>
    </xf>
    <xf numFmtId="3" fontId="4" fillId="0" borderId="5" xfId="0" applyNumberFormat="1" applyFont="1" applyFill="1" applyBorder="1" applyAlignment="1" applyProtection="1">
      <alignment/>
      <protection locked="0"/>
    </xf>
    <xf numFmtId="3" fontId="4" fillId="0" borderId="3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0" borderId="3" xfId="0" applyNumberFormat="1" applyFont="1" applyFill="1" applyBorder="1" applyAlignment="1" applyProtection="1">
      <alignment/>
      <protection locked="0"/>
    </xf>
    <xf numFmtId="3" fontId="4" fillId="3" borderId="4" xfId="0" applyNumberFormat="1" applyFont="1" applyFill="1" applyBorder="1" applyProtection="1">
      <protection/>
    </xf>
    <xf numFmtId="3" fontId="4" fillId="3" borderId="5" xfId="0" applyNumberFormat="1" applyFont="1" applyFill="1" applyBorder="1" applyProtection="1">
      <protection/>
    </xf>
    <xf numFmtId="3" fontId="4" fillId="3" borderId="4" xfId="0" applyNumberFormat="1" applyFont="1" applyFill="1" applyBorder="1" applyAlignment="1" applyProtection="1">
      <alignment/>
      <protection/>
    </xf>
    <xf numFmtId="3" fontId="4" fillId="3" borderId="5" xfId="0" applyNumberFormat="1" applyFont="1" applyFill="1" applyBorder="1" applyAlignment="1" applyProtection="1">
      <alignment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4" fillId="3" borderId="6" xfId="0" applyNumberFormat="1" applyFont="1" applyFill="1" applyBorder="1" applyAlignment="1" applyProtection="1">
      <alignment vertical="top"/>
      <protection/>
    </xf>
    <xf numFmtId="3" fontId="4" fillId="3" borderId="7" xfId="0" applyNumberFormat="1" applyFont="1" applyFill="1" applyBorder="1" applyAlignment="1" applyProtection="1">
      <alignment vertical="top"/>
      <protection/>
    </xf>
    <xf numFmtId="3" fontId="4" fillId="3" borderId="8" xfId="0" applyNumberFormat="1" applyFont="1" applyFill="1" applyBorder="1" applyAlignment="1" applyProtection="1">
      <alignment vertical="top"/>
      <protection/>
    </xf>
    <xf numFmtId="0" fontId="5" fillId="0" borderId="6" xfId="0" applyFont="1" applyBorder="1" applyAlignment="1" applyProtection="1">
      <alignment vertical="top"/>
      <protection hidden="1"/>
    </xf>
    <xf numFmtId="0" fontId="4" fillId="0" borderId="7" xfId="0" applyFont="1" applyBorder="1" applyAlignment="1" applyProtection="1">
      <alignment vertical="top"/>
      <protection hidden="1"/>
    </xf>
    <xf numFmtId="165" fontId="4" fillId="0" borderId="7" xfId="0" applyNumberFormat="1" applyFont="1" applyBorder="1" applyAlignment="1" applyProtection="1">
      <alignment horizontal="right" vertical="top"/>
      <protection/>
    </xf>
    <xf numFmtId="164" fontId="5" fillId="0" borderId="7" xfId="0" applyNumberFormat="1" applyFont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vertical="top"/>
      <protection hidden="1"/>
    </xf>
    <xf numFmtId="0" fontId="4" fillId="0" borderId="7" xfId="0" applyFont="1" applyBorder="1" applyAlignment="1" applyProtection="1">
      <alignment horizontal="left" vertical="top"/>
      <protection hidden="1"/>
    </xf>
    <xf numFmtId="0" fontId="4" fillId="0" borderId="7" xfId="0" applyFont="1" applyBorder="1" applyAlignment="1" applyProtection="1">
      <alignment horizontal="center" vertical="top"/>
      <protection hidden="1"/>
    </xf>
    <xf numFmtId="165" fontId="4" fillId="0" borderId="7" xfId="0" applyNumberFormat="1" applyFont="1" applyBorder="1" applyAlignment="1" applyProtection="1">
      <alignment horizontal="right" vertical="top"/>
      <protection hidden="1"/>
    </xf>
    <xf numFmtId="164" fontId="4" fillId="0" borderId="7" xfId="0" applyNumberFormat="1" applyFont="1" applyBorder="1" applyAlignment="1" applyProtection="1">
      <alignment vertical="top"/>
      <protection hidden="1"/>
    </xf>
    <xf numFmtId="3" fontId="12" fillId="0" borderId="8" xfId="0" applyNumberFormat="1" applyFont="1" applyBorder="1" applyAlignment="1" applyProtection="1">
      <alignment horizontal="right" vertical="top"/>
      <protection hidden="1"/>
    </xf>
    <xf numFmtId="0" fontId="5" fillId="0" borderId="0" xfId="0" applyFont="1" applyBorder="1" applyAlignment="1" applyProtection="1">
      <alignment horizontal="center" vertical="top"/>
      <protection hidden="1"/>
    </xf>
    <xf numFmtId="1" fontId="4" fillId="0" borderId="0" xfId="0" applyNumberFormat="1" applyFont="1" applyBorder="1" applyAlignment="1" applyProtection="1">
      <alignment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5" fillId="0" borderId="7" xfId="0" applyFont="1" applyBorder="1" applyAlignment="1" applyProtection="1">
      <alignment horizontal="center" vertical="top"/>
      <protection hidden="1"/>
    </xf>
    <xf numFmtId="167" fontId="5" fillId="0" borderId="7" xfId="0" applyNumberFormat="1" applyFont="1" applyBorder="1" applyAlignment="1" applyProtection="1">
      <alignment horizontal="center" vertical="top"/>
      <protection hidden="1"/>
    </xf>
    <xf numFmtId="167" fontId="5" fillId="0" borderId="6" xfId="0" applyNumberFormat="1" applyFont="1" applyBorder="1" applyAlignment="1" applyProtection="1">
      <alignment horizontal="center" vertical="top"/>
      <protection hidden="1"/>
    </xf>
    <xf numFmtId="167" fontId="5" fillId="0" borderId="8" xfId="0" applyNumberFormat="1" applyFont="1" applyBorder="1" applyAlignment="1" applyProtection="1">
      <alignment horizontal="center" vertical="top"/>
      <protection hidden="1"/>
    </xf>
    <xf numFmtId="0" fontId="19" fillId="0" borderId="7" xfId="0" applyFont="1" applyBorder="1" applyAlignment="1" applyProtection="1">
      <alignment horizontal="center" vertical="top"/>
      <protection hidden="1"/>
    </xf>
    <xf numFmtId="0" fontId="18" fillId="0" borderId="8" xfId="0" applyFont="1" applyBorder="1" applyAlignment="1">
      <alignment horizontal="center" vertical="top"/>
    </xf>
    <xf numFmtId="0" fontId="4" fillId="0" borderId="0" xfId="0" applyFont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top"/>
      <protection hidden="1"/>
    </xf>
    <xf numFmtId="164" fontId="20" fillId="0" borderId="0" xfId="0" applyNumberFormat="1" applyFont="1" applyFill="1" applyBorder="1" applyAlignment="1" applyProtection="1">
      <alignment vertical="top"/>
      <protection/>
    </xf>
    <xf numFmtId="164" fontId="20" fillId="0" borderId="4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164" fontId="20" fillId="0" borderId="8" xfId="0" applyNumberFormat="1" applyFont="1" applyFill="1" applyBorder="1" applyAlignment="1" applyProtection="1">
      <alignment vertical="top"/>
      <protection locked="0"/>
    </xf>
    <xf numFmtId="3" fontId="20" fillId="0" borderId="0" xfId="0" applyNumberFormat="1" applyFont="1" applyBorder="1" applyAlignment="1" applyProtection="1">
      <alignment vertical="top"/>
      <protection hidden="1"/>
    </xf>
    <xf numFmtId="0" fontId="20" fillId="0" borderId="0" xfId="0" applyFont="1" applyBorder="1" applyAlignment="1" applyProtection="1">
      <alignment horizontal="left" vertical="top"/>
      <protection hidden="1"/>
    </xf>
    <xf numFmtId="0" fontId="20" fillId="0" borderId="0" xfId="0" applyFont="1" applyBorder="1" applyAlignment="1" applyProtection="1">
      <alignment/>
      <protection hidden="1"/>
    </xf>
    <xf numFmtId="164" fontId="20" fillId="0" borderId="0" xfId="0" applyNumberFormat="1" applyFont="1" applyFill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/>
      <protection hidden="1"/>
    </xf>
    <xf numFmtId="0" fontId="23" fillId="4" borderId="9" xfId="0" applyFont="1" applyFill="1" applyBorder="1" applyAlignment="1" applyProtection="1">
      <alignment vertical="center"/>
      <protection hidden="1"/>
    </xf>
    <xf numFmtId="0" fontId="21" fillId="4" borderId="10" xfId="0" applyFont="1" applyFill="1" applyBorder="1" applyAlignment="1" applyProtection="1">
      <alignment horizontal="center" vertical="center"/>
      <protection hidden="1"/>
    </xf>
    <xf numFmtId="0" fontId="21" fillId="4" borderId="10" xfId="0" applyFont="1" applyFill="1" applyBorder="1" applyAlignment="1" applyProtection="1">
      <alignment vertical="center"/>
      <protection hidden="1"/>
    </xf>
    <xf numFmtId="3" fontId="21" fillId="4" borderId="10" xfId="0" applyNumberFormat="1" applyFont="1" applyFill="1" applyBorder="1" applyAlignment="1" applyProtection="1">
      <alignment vertical="center"/>
      <protection hidden="1"/>
    </xf>
    <xf numFmtId="165" fontId="23" fillId="4" borderId="11" xfId="0" applyNumberFormat="1" applyFont="1" applyFill="1" applyBorder="1" applyAlignment="1" applyProtection="1">
      <alignment horizontal="right" vertical="center"/>
      <protection/>
    </xf>
    <xf numFmtId="164" fontId="23" fillId="4" borderId="10" xfId="0" applyNumberFormat="1" applyFont="1" applyFill="1" applyBorder="1" applyAlignment="1" applyProtection="1">
      <alignment vertical="center"/>
      <protection hidden="1"/>
    </xf>
    <xf numFmtId="164" fontId="23" fillId="4" borderId="11" xfId="0" applyNumberFormat="1" applyFont="1" applyFill="1" applyBorder="1" applyAlignment="1" applyProtection="1">
      <alignment horizontal="right" vertical="center"/>
      <protection/>
    </xf>
    <xf numFmtId="164" fontId="23" fillId="4" borderId="10" xfId="0" applyNumberFormat="1" applyFont="1" applyFill="1" applyBorder="1" applyAlignment="1" applyProtection="1">
      <alignment vertical="center"/>
      <protection/>
    </xf>
    <xf numFmtId="164" fontId="23" fillId="4" borderId="11" xfId="0" applyNumberFormat="1" applyFont="1" applyFill="1" applyBorder="1" applyAlignment="1" applyProtection="1">
      <alignment vertical="center"/>
      <protection/>
    </xf>
    <xf numFmtId="165" fontId="23" fillId="4" borderId="1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horizontal="right" vertical="top"/>
      <protection/>
    </xf>
    <xf numFmtId="164" fontId="23" fillId="4" borderId="10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Border="1" applyAlignment="1" applyProtection="1">
      <alignment horizontal="right" vertical="center"/>
      <protection/>
    </xf>
    <xf numFmtId="0" fontId="23" fillId="4" borderId="10" xfId="0" applyFont="1" applyFill="1" applyBorder="1" applyAlignment="1" applyProtection="1">
      <alignment vertical="center"/>
      <protection hidden="1"/>
    </xf>
    <xf numFmtId="1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 applyProtection="1">
      <alignment vertical="top"/>
      <protection hidden="1"/>
    </xf>
    <xf numFmtId="3" fontId="4" fillId="0" borderId="0" xfId="0" applyNumberFormat="1" applyFont="1" applyFill="1" applyBorder="1" applyProtection="1">
      <protection hidden="1"/>
    </xf>
    <xf numFmtId="3" fontId="4" fillId="0" borderId="0" xfId="0" applyNumberFormat="1" applyFont="1" applyFill="1" applyBorder="1" applyAlignment="1" applyProtection="1">
      <alignment vertical="center"/>
      <protection hidden="1"/>
    </xf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 applyAlignment="1" applyProtection="1">
      <alignment vertical="top"/>
      <protection locked="0"/>
    </xf>
    <xf numFmtId="3" fontId="4" fillId="0" borderId="0" xfId="0" applyNumberFormat="1" applyFont="1" applyBorder="1" applyAlignment="1" applyProtection="1">
      <alignment vertical="center"/>
      <protection locked="0"/>
    </xf>
    <xf numFmtId="3" fontId="4" fillId="3" borderId="0" xfId="0" applyNumberFormat="1" applyFont="1" applyFill="1" applyBorder="1" applyAlignment="1" applyProtection="1">
      <alignment vertical="top"/>
      <protection hidden="1"/>
    </xf>
    <xf numFmtId="0" fontId="5" fillId="0" borderId="6" xfId="0" applyFont="1" applyBorder="1" applyAlignment="1" applyProtection="1">
      <alignment vertical="center"/>
      <protection hidden="1"/>
    </xf>
    <xf numFmtId="0" fontId="4" fillId="0" borderId="4" xfId="0" applyFont="1" applyBorder="1" applyProtection="1">
      <protection hidden="1"/>
    </xf>
    <xf numFmtId="0" fontId="4" fillId="0" borderId="6" xfId="0" applyFont="1" applyBorder="1" applyAlignment="1" applyProtection="1">
      <alignment vertical="top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25" fillId="0" borderId="5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right" vertical="top"/>
      <protection/>
    </xf>
    <xf numFmtId="165" fontId="5" fillId="0" borderId="8" xfId="0" applyNumberFormat="1" applyFont="1" applyBorder="1" applyAlignment="1" applyProtection="1">
      <alignment horizontal="right" vertical="top"/>
      <protection/>
    </xf>
    <xf numFmtId="0" fontId="9" fillId="4" borderId="3" xfId="0" applyFont="1" applyFill="1" applyBorder="1" applyProtection="1">
      <protection hidden="1"/>
    </xf>
    <xf numFmtId="0" fontId="10" fillId="4" borderId="5" xfId="0" applyFont="1" applyFill="1" applyBorder="1" applyAlignment="1" applyProtection="1">
      <alignment horizontal="left"/>
      <protection/>
    </xf>
    <xf numFmtId="0" fontId="9" fillId="4" borderId="8" xfId="0" applyFont="1" applyFill="1" applyBorder="1" applyProtection="1"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9" fillId="4" borderId="0" xfId="0" applyFont="1" applyFill="1" applyBorder="1" applyAlignment="1" applyProtection="1">
      <alignment horizontal="left"/>
      <protection hidden="1"/>
    </xf>
    <xf numFmtId="0" fontId="9" fillId="4" borderId="0" xfId="0" applyFont="1" applyFill="1" applyBorder="1" applyAlignment="1" applyProtection="1">
      <alignment horizontal="left" vertical="top"/>
      <protection hidden="1"/>
    </xf>
    <xf numFmtId="0" fontId="9" fillId="4" borderId="4" xfId="0" applyFont="1" applyFill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 vertical="top"/>
      <protection hidden="1"/>
    </xf>
    <xf numFmtId="164" fontId="9" fillId="4" borderId="0" xfId="0" applyNumberFormat="1" applyFont="1" applyFill="1" applyBorder="1" applyAlignment="1" applyProtection="1">
      <alignment vertical="top"/>
      <protection hidden="1"/>
    </xf>
    <xf numFmtId="0" fontId="10" fillId="4" borderId="0" xfId="0" applyFont="1" applyFill="1" applyBorder="1" applyAlignment="1" applyProtection="1">
      <alignment horizontal="left" vertical="top"/>
      <protection/>
    </xf>
    <xf numFmtId="0" fontId="8" fillId="4" borderId="5" xfId="0" applyFont="1" applyFill="1" applyBorder="1" applyAlignment="1" applyProtection="1">
      <alignment vertical="top"/>
      <protection hidden="1"/>
    </xf>
    <xf numFmtId="0" fontId="4" fillId="0" borderId="0" xfId="20" applyFont="1" applyProtection="1">
      <alignment/>
      <protection hidden="1"/>
    </xf>
    <xf numFmtId="0" fontId="4" fillId="5" borderId="12" xfId="20" applyFont="1" applyFill="1" applyBorder="1" applyAlignment="1" applyProtection="1">
      <alignment horizontal="center"/>
      <protection locked="0"/>
    </xf>
    <xf numFmtId="0" fontId="4" fillId="0" borderId="0" xfId="20" applyFont="1" applyBorder="1" applyAlignment="1" applyProtection="1">
      <alignment horizontal="right"/>
      <protection hidden="1"/>
    </xf>
    <xf numFmtId="0" fontId="8" fillId="4" borderId="4" xfId="20" applyFont="1" applyFill="1" applyBorder="1" applyProtection="1">
      <alignment/>
      <protection hidden="1"/>
    </xf>
    <xf numFmtId="0" fontId="8" fillId="4" borderId="0" xfId="20" applyFont="1" applyFill="1" applyBorder="1" applyProtection="1">
      <alignment/>
      <protection hidden="1"/>
    </xf>
    <xf numFmtId="0" fontId="9" fillId="4" borderId="4" xfId="20" applyFont="1" applyFill="1" applyBorder="1" applyAlignment="1" applyProtection="1">
      <alignment/>
      <protection hidden="1"/>
    </xf>
    <xf numFmtId="0" fontId="9" fillId="4" borderId="0" xfId="21" applyFont="1" applyFill="1" applyAlignment="1">
      <alignment/>
      <protection/>
    </xf>
    <xf numFmtId="0" fontId="9" fillId="4" borderId="0" xfId="20" applyFont="1" applyFill="1" applyBorder="1" applyProtection="1">
      <alignment/>
      <protection hidden="1"/>
    </xf>
    <xf numFmtId="0" fontId="9" fillId="4" borderId="5" xfId="20" applyFont="1" applyFill="1" applyBorder="1" applyAlignment="1">
      <alignment/>
      <protection/>
    </xf>
    <xf numFmtId="0" fontId="9" fillId="0" borderId="0" xfId="20" applyFont="1" applyProtection="1">
      <alignment/>
      <protection hidden="1"/>
    </xf>
    <xf numFmtId="0" fontId="9" fillId="4" borderId="6" xfId="21" applyFont="1" applyFill="1" applyBorder="1" applyAlignment="1">
      <alignment vertical="top"/>
      <protection/>
    </xf>
    <xf numFmtId="0" fontId="9" fillId="4" borderId="7" xfId="21" applyFont="1" applyFill="1" applyBorder="1" applyAlignment="1">
      <alignment vertical="top"/>
      <protection/>
    </xf>
    <xf numFmtId="0" fontId="9" fillId="4" borderId="7" xfId="20" applyFont="1" applyFill="1" applyBorder="1" applyAlignment="1" applyProtection="1">
      <alignment vertical="top"/>
      <protection hidden="1"/>
    </xf>
    <xf numFmtId="0" fontId="9" fillId="4" borderId="8" xfId="20" applyFont="1" applyFill="1" applyBorder="1" applyAlignment="1" applyProtection="1">
      <alignment vertical="top"/>
      <protection hidden="1"/>
    </xf>
    <xf numFmtId="0" fontId="9" fillId="0" borderId="0" xfId="20" applyFont="1" applyAlignment="1" applyProtection="1">
      <alignment vertical="top"/>
      <protection hidden="1"/>
    </xf>
    <xf numFmtId="0" fontId="5" fillId="0" borderId="0" xfId="20" applyFont="1" applyProtection="1">
      <alignment/>
      <protection hidden="1"/>
    </xf>
    <xf numFmtId="0" fontId="5" fillId="0" borderId="0" xfId="20" applyFont="1" applyAlignment="1" applyProtection="1">
      <alignment vertical="top"/>
      <protection hidden="1"/>
    </xf>
    <xf numFmtId="0" fontId="4" fillId="0" borderId="1" xfId="20" applyFont="1" applyBorder="1" applyProtection="1" quotePrefix="1">
      <alignment/>
      <protection hidden="1"/>
    </xf>
    <xf numFmtId="0" fontId="4" fillId="0" borderId="2" xfId="20" applyFont="1" applyBorder="1" applyProtection="1">
      <alignment/>
      <protection hidden="1"/>
    </xf>
    <xf numFmtId="0" fontId="4" fillId="0" borderId="3" xfId="20" applyFont="1" applyBorder="1" applyProtection="1">
      <alignment/>
      <protection hidden="1"/>
    </xf>
    <xf numFmtId="0" fontId="4" fillId="0" borderId="4" xfId="20" applyFont="1" applyBorder="1" applyProtection="1" quotePrefix="1">
      <alignment/>
      <protection hidden="1"/>
    </xf>
    <xf numFmtId="0" fontId="4" fillId="0" borderId="0" xfId="20" applyFont="1" applyBorder="1" applyProtection="1">
      <alignment/>
      <protection hidden="1"/>
    </xf>
    <xf numFmtId="0" fontId="4" fillId="0" borderId="5" xfId="20" applyFont="1" applyBorder="1" applyProtection="1">
      <alignment/>
      <protection hidden="1"/>
    </xf>
    <xf numFmtId="0" fontId="4" fillId="0" borderId="0" xfId="20" applyFont="1" applyAlignment="1" applyProtection="1">
      <alignment vertical="top"/>
      <protection hidden="1"/>
    </xf>
    <xf numFmtId="0" fontId="4" fillId="0" borderId="6" xfId="20" applyFont="1" applyBorder="1" applyAlignment="1" applyProtection="1" quotePrefix="1">
      <alignment vertical="top"/>
      <protection hidden="1"/>
    </xf>
    <xf numFmtId="0" fontId="4" fillId="0" borderId="7" xfId="20" applyFont="1" applyBorder="1" applyAlignment="1" applyProtection="1">
      <alignment vertical="top"/>
      <protection hidden="1"/>
    </xf>
    <xf numFmtId="0" fontId="4" fillId="0" borderId="8" xfId="20" applyFont="1" applyBorder="1" applyAlignment="1" applyProtection="1">
      <alignment vertical="top"/>
      <protection hidden="1"/>
    </xf>
    <xf numFmtId="0" fontId="21" fillId="4" borderId="1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20" fillId="0" borderId="4" xfId="0" applyNumberFormat="1" applyFont="1" applyFill="1" applyBorder="1" applyAlignment="1" applyProtection="1">
      <alignment horizontal="right"/>
      <protection/>
    </xf>
    <xf numFmtId="164" fontId="20" fillId="0" borderId="0" xfId="0" applyNumberFormat="1" applyFont="1" applyFill="1" applyBorder="1" applyAlignment="1" applyProtection="1">
      <alignment horizontal="right"/>
      <protection/>
    </xf>
    <xf numFmtId="164" fontId="20" fillId="0" borderId="5" xfId="0" applyNumberFormat="1" applyFont="1" applyFill="1" applyBorder="1" applyAlignment="1" applyProtection="1">
      <alignment horizontal="right"/>
      <protection/>
    </xf>
    <xf numFmtId="164" fontId="20" fillId="0" borderId="4" xfId="0" applyNumberFormat="1" applyFont="1" applyFill="1" applyBorder="1" applyAlignment="1" applyProtection="1">
      <alignment horizontal="right" vertical="top"/>
      <protection/>
    </xf>
    <xf numFmtId="164" fontId="20" fillId="0" borderId="0" xfId="0" applyNumberFormat="1" applyFont="1" applyFill="1" applyBorder="1" applyAlignment="1" applyProtection="1">
      <alignment horizontal="right" vertical="top"/>
      <protection/>
    </xf>
    <xf numFmtId="164" fontId="20" fillId="0" borderId="8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center" vertical="center"/>
      <protection hidden="1"/>
    </xf>
    <xf numFmtId="3" fontId="4" fillId="3" borderId="0" xfId="0" applyNumberFormat="1" applyFont="1" applyFill="1" applyBorder="1" applyAlignment="1" applyProtection="1">
      <alignment vertical="center"/>
      <protection/>
    </xf>
    <xf numFmtId="3" fontId="4" fillId="3" borderId="6" xfId="0" applyNumberFormat="1" applyFont="1" applyFill="1" applyBorder="1" applyAlignment="1" applyProtection="1">
      <alignment vertical="center"/>
      <protection locked="0"/>
    </xf>
    <xf numFmtId="3" fontId="4" fillId="3" borderId="7" xfId="0" applyNumberFormat="1" applyFont="1" applyFill="1" applyBorder="1" applyAlignment="1" applyProtection="1">
      <alignment vertical="center"/>
      <protection locked="0"/>
    </xf>
    <xf numFmtId="3" fontId="4" fillId="3" borderId="8" xfId="0" applyNumberFormat="1" applyFont="1" applyFill="1" applyBorder="1" applyAlignment="1" applyProtection="1">
      <alignment vertical="center"/>
      <protection locked="0"/>
    </xf>
    <xf numFmtId="171" fontId="4" fillId="0" borderId="0" xfId="0" applyNumberFormat="1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21" fillId="4" borderId="10" xfId="0" applyFont="1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25" fillId="0" borderId="5" xfId="0" applyFont="1" applyBorder="1" applyAlignment="1">
      <alignment horizontal="center" vertical="center"/>
    </xf>
    <xf numFmtId="3" fontId="4" fillId="0" borderId="0" xfId="0" applyNumberFormat="1" applyFont="1" applyBorder="1" applyProtection="1">
      <protection/>
    </xf>
    <xf numFmtId="3" fontId="4" fillId="0" borderId="0" xfId="0" applyNumberFormat="1" applyFont="1" applyBorder="1" applyAlignment="1" applyProtection="1">
      <alignment vertical="top"/>
      <protection/>
    </xf>
    <xf numFmtId="3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Protection="1" quotePrefix="1">
      <protection hidden="1"/>
    </xf>
    <xf numFmtId="0" fontId="4" fillId="0" borderId="0" xfId="0" applyFont="1" applyBorder="1" applyAlignment="1" applyProtection="1" quotePrefix="1">
      <alignment vertical="top"/>
      <protection hidden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24" applyFont="1" applyFill="1" applyBorder="1" applyAlignment="1" applyProtection="1">
      <alignment horizontal="left"/>
      <protection hidden="1"/>
    </xf>
    <xf numFmtId="0" fontId="4" fillId="3" borderId="0" xfId="24" applyFont="1" applyFill="1" applyBorder="1" applyProtection="1">
      <alignment/>
      <protection hidden="1"/>
    </xf>
    <xf numFmtId="0" fontId="4" fillId="3" borderId="7" xfId="24" applyFont="1" applyFill="1" applyBorder="1" applyAlignment="1" applyProtection="1">
      <alignment vertical="top"/>
      <protection hidden="1"/>
    </xf>
    <xf numFmtId="164" fontId="5" fillId="0" borderId="0" xfId="0" applyNumberFormat="1" applyFont="1" applyBorder="1" applyAlignment="1" applyProtection="1">
      <alignment horizontal="right"/>
      <protection hidden="1"/>
    </xf>
    <xf numFmtId="3" fontId="4" fillId="0" borderId="0" xfId="0" applyNumberFormat="1" applyFont="1" applyBorder="1" applyAlignment="1" applyProtection="1">
      <alignment horizontal="right"/>
      <protection hidden="1"/>
    </xf>
    <xf numFmtId="0" fontId="5" fillId="0" borderId="2" xfId="0" applyFont="1" applyBorder="1" applyAlignment="1" applyProtection="1">
      <alignment horizontal="center"/>
      <protection hidden="1"/>
    </xf>
    <xf numFmtId="164" fontId="5" fillId="0" borderId="2" xfId="0" applyNumberFormat="1" applyFont="1" applyBorder="1" applyAlignment="1" applyProtection="1">
      <alignment horizontal="center"/>
      <protection hidden="1"/>
    </xf>
    <xf numFmtId="3" fontId="4" fillId="0" borderId="7" xfId="0" applyNumberFormat="1" applyFont="1" applyBorder="1" applyAlignment="1" applyProtection="1">
      <alignment horizontal="right" vertical="top"/>
      <protection hidden="1"/>
    </xf>
    <xf numFmtId="164" fontId="5" fillId="0" borderId="7" xfId="0" applyNumberFormat="1" applyFont="1" applyBorder="1" applyAlignment="1" applyProtection="1">
      <alignment horizontal="right" vertical="top"/>
      <protection hidden="1"/>
    </xf>
    <xf numFmtId="0" fontId="5" fillId="0" borderId="7" xfId="0" applyFont="1" applyBorder="1" applyAlignment="1" applyProtection="1">
      <alignment horizontal="right" vertical="top"/>
      <protection hidden="1"/>
    </xf>
    <xf numFmtId="0" fontId="5" fillId="0" borderId="7" xfId="0" applyFont="1" applyBorder="1" applyAlignment="1" applyProtection="1">
      <alignment vertical="top"/>
      <protection hidden="1"/>
    </xf>
    <xf numFmtId="0" fontId="5" fillId="0" borderId="8" xfId="0" applyFont="1" applyBorder="1" applyAlignment="1" applyProtection="1">
      <alignment horizontal="right" vertical="top"/>
      <protection hidden="1"/>
    </xf>
    <xf numFmtId="0" fontId="4" fillId="0" borderId="4" xfId="20" applyFont="1" applyBorder="1" applyAlignment="1" applyProtection="1" quotePrefix="1">
      <alignment/>
      <protection hidden="1"/>
    </xf>
    <xf numFmtId="0" fontId="4" fillId="0" borderId="0" xfId="20" applyFont="1" applyBorder="1" applyAlignment="1" applyProtection="1">
      <alignment/>
      <protection hidden="1"/>
    </xf>
    <xf numFmtId="0" fontId="4" fillId="0" borderId="5" xfId="20" applyFont="1" applyBorder="1" applyAlignment="1" applyProtection="1">
      <alignment/>
      <protection hidden="1"/>
    </xf>
    <xf numFmtId="0" fontId="4" fillId="0" borderId="0" xfId="20" applyFont="1" applyAlignment="1" applyProtection="1">
      <alignment/>
      <protection hidden="1"/>
    </xf>
    <xf numFmtId="0" fontId="12" fillId="0" borderId="1" xfId="20" applyFont="1" applyBorder="1" applyAlignment="1" applyProtection="1" quotePrefix="1">
      <alignment/>
      <protection hidden="1"/>
    </xf>
    <xf numFmtId="0" fontId="4" fillId="0" borderId="2" xfId="20" applyFont="1" applyBorder="1" applyAlignment="1" applyProtection="1">
      <alignment/>
      <protection hidden="1"/>
    </xf>
    <xf numFmtId="0" fontId="4" fillId="0" borderId="3" xfId="20" applyFont="1" applyBorder="1" applyAlignment="1" applyProtection="1">
      <alignment/>
      <protection hidden="1"/>
    </xf>
    <xf numFmtId="0" fontId="12" fillId="0" borderId="4" xfId="20" applyFont="1" applyBorder="1" applyProtection="1" quotePrefix="1">
      <alignment/>
      <protection hidden="1"/>
    </xf>
    <xf numFmtId="0" fontId="4" fillId="0" borderId="0" xfId="20" applyFont="1" applyAlignment="1" applyProtection="1">
      <alignment vertical="center"/>
      <protection hidden="1"/>
    </xf>
    <xf numFmtId="0" fontId="12" fillId="0" borderId="6" xfId="20" applyFont="1" applyBorder="1" applyAlignment="1" applyProtection="1" quotePrefix="1">
      <alignment vertical="center"/>
      <protection hidden="1"/>
    </xf>
    <xf numFmtId="0" fontId="4" fillId="0" borderId="7" xfId="20" applyFont="1" applyBorder="1" applyAlignment="1" applyProtection="1">
      <alignment vertical="center"/>
      <protection hidden="1"/>
    </xf>
    <xf numFmtId="0" fontId="4" fillId="0" borderId="8" xfId="20" applyFont="1" applyBorder="1" applyAlignment="1" applyProtection="1">
      <alignment vertical="center"/>
      <protection hidden="1"/>
    </xf>
    <xf numFmtId="0" fontId="33" fillId="0" borderId="0" xfId="20" applyFont="1" applyProtection="1">
      <alignment/>
      <protection hidden="1"/>
    </xf>
    <xf numFmtId="0" fontId="33" fillId="6" borderId="1" xfId="20" applyFont="1" applyFill="1" applyBorder="1" applyProtection="1">
      <alignment/>
      <protection hidden="1"/>
    </xf>
    <xf numFmtId="0" fontId="5" fillId="6" borderId="2" xfId="20" applyFont="1" applyFill="1" applyBorder="1" applyProtection="1">
      <alignment/>
      <protection hidden="1"/>
    </xf>
    <xf numFmtId="0" fontId="5" fillId="6" borderId="3" xfId="20" applyFont="1" applyFill="1" applyBorder="1" applyAlignment="1" applyProtection="1">
      <alignment vertical="top"/>
      <protection hidden="1"/>
    </xf>
    <xf numFmtId="0" fontId="33" fillId="6" borderId="6" xfId="20" applyFont="1" applyFill="1" applyBorder="1" applyProtection="1">
      <alignment/>
      <protection hidden="1"/>
    </xf>
    <xf numFmtId="0" fontId="5" fillId="6" borderId="7" xfId="20" applyFont="1" applyFill="1" applyBorder="1" applyProtection="1">
      <alignment/>
      <protection hidden="1"/>
    </xf>
    <xf numFmtId="0" fontId="5" fillId="6" borderId="8" xfId="20" applyFont="1" applyFill="1" applyBorder="1" applyAlignment="1" applyProtection="1">
      <alignment vertical="top"/>
      <protection hidden="1"/>
    </xf>
    <xf numFmtId="0" fontId="8" fillId="4" borderId="0" xfId="0" applyFont="1" applyFill="1" applyBorder="1" applyAlignment="1" applyProtection="1">
      <alignment/>
      <protection hidden="1"/>
    </xf>
    <xf numFmtId="0" fontId="8" fillId="4" borderId="0" xfId="0" applyFont="1" applyFill="1" applyBorder="1" applyAlignment="1" applyProtection="1">
      <alignment horizontal="right"/>
      <protection hidden="1"/>
    </xf>
    <xf numFmtId="0" fontId="21" fillId="4" borderId="0" xfId="0" applyFont="1" applyFill="1" applyBorder="1" applyAlignment="1" applyProtection="1">
      <alignment/>
      <protection hidden="1"/>
    </xf>
    <xf numFmtId="0" fontId="11" fillId="4" borderId="2" xfId="20" applyFont="1" applyFill="1" applyBorder="1" applyAlignment="1" applyProtection="1">
      <alignment/>
      <protection hidden="1"/>
    </xf>
    <xf numFmtId="0" fontId="11" fillId="4" borderId="0" xfId="20" applyFont="1" applyFill="1" applyBorder="1" applyAlignment="1" applyProtection="1">
      <alignment/>
      <protection hidden="1"/>
    </xf>
    <xf numFmtId="0" fontId="21" fillId="4" borderId="13" xfId="20" applyFont="1" applyFill="1" applyBorder="1" applyAlignment="1" applyProtection="1">
      <alignment horizontal="center" vertical="center" textRotation="90"/>
      <protection hidden="1"/>
    </xf>
    <xf numFmtId="0" fontId="30" fillId="4" borderId="14" xfId="20" applyFont="1" applyFill="1" applyBorder="1" applyAlignment="1">
      <alignment horizontal="center" vertical="center" textRotation="90"/>
      <protection/>
    </xf>
    <xf numFmtId="0" fontId="30" fillId="4" borderId="15" xfId="20" applyFont="1" applyFill="1" applyBorder="1" applyAlignment="1">
      <alignment horizontal="center" vertical="center" textRotation="90"/>
      <protection/>
    </xf>
    <xf numFmtId="0" fontId="4" fillId="0" borderId="0" xfId="20" applyFont="1" applyAlignment="1" applyProtection="1">
      <alignment horizontal="right"/>
      <protection hidden="1"/>
    </xf>
    <xf numFmtId="0" fontId="27" fillId="0" borderId="0" xfId="20" applyAlignment="1">
      <alignment horizontal="right"/>
      <protection/>
    </xf>
    <xf numFmtId="0" fontId="21" fillId="4" borderId="14" xfId="20" applyFont="1" applyFill="1" applyBorder="1" applyAlignment="1" applyProtection="1">
      <alignment horizontal="center" vertical="center" textRotation="90"/>
      <protection hidden="1"/>
    </xf>
    <xf numFmtId="0" fontId="21" fillId="4" borderId="2" xfId="20" applyFont="1" applyFill="1" applyBorder="1" applyAlignment="1" applyProtection="1">
      <alignment vertical="center" textRotation="90"/>
      <protection hidden="1"/>
    </xf>
    <xf numFmtId="0" fontId="31" fillId="0" borderId="0" xfId="20" applyFont="1" applyBorder="1" applyAlignment="1">
      <alignment/>
      <protection/>
    </xf>
    <xf numFmtId="0" fontId="0" fillId="0" borderId="0" xfId="0" applyAlignment="1">
      <alignment/>
    </xf>
    <xf numFmtId="0" fontId="21" fillId="7" borderId="13" xfId="20" applyFont="1" applyFill="1" applyBorder="1" applyAlignment="1" applyProtection="1">
      <alignment horizontal="center" vertical="center" textRotation="90"/>
      <protection hidden="1"/>
    </xf>
    <xf numFmtId="0" fontId="21" fillId="7" borderId="14" xfId="20" applyFont="1" applyFill="1" applyBorder="1" applyAlignment="1" applyProtection="1">
      <alignment horizontal="center" vertical="center" textRotation="90"/>
      <protection hidden="1"/>
    </xf>
    <xf numFmtId="0" fontId="30" fillId="7" borderId="14" xfId="20" applyFont="1" applyFill="1" applyBorder="1" applyAlignment="1">
      <alignment horizontal="center" vertical="center" textRotation="90"/>
      <protection/>
    </xf>
    <xf numFmtId="0" fontId="30" fillId="7" borderId="15" xfId="20" applyFont="1" applyFill="1" applyBorder="1" applyAlignment="1">
      <alignment horizontal="center" vertical="center" textRotation="90"/>
      <protection/>
    </xf>
    <xf numFmtId="0" fontId="21" fillId="4" borderId="0" xfId="0" applyFont="1" applyFill="1" applyBorder="1" applyAlignment="1" applyProtection="1">
      <alignment horizontal="center"/>
      <protection hidden="1"/>
    </xf>
    <xf numFmtId="0" fontId="21" fillId="4" borderId="10" xfId="0" applyFont="1" applyFill="1" applyBorder="1" applyAlignment="1" applyProtection="1">
      <alignment vertical="center"/>
      <protection hidden="1"/>
    </xf>
    <xf numFmtId="0" fontId="21" fillId="4" borderId="10" xfId="0" applyFont="1" applyFill="1" applyBorder="1" applyAlignment="1">
      <alignment vertical="center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12" fillId="0" borderId="3" xfId="0" applyFont="1" applyBorder="1" applyAlignment="1" applyProtection="1">
      <alignment horizontal="center" wrapText="1"/>
      <protection hidden="1"/>
    </xf>
    <xf numFmtId="0" fontId="12" fillId="0" borderId="5" xfId="0" applyFont="1" applyBorder="1" applyAlignment="1" applyProtection="1">
      <alignment horizontal="center" wrapText="1"/>
      <protection hidden="1"/>
    </xf>
    <xf numFmtId="0" fontId="12" fillId="0" borderId="2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0" fontId="8" fillId="4" borderId="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8" fillId="4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12" fillId="0" borderId="4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/>
      <protection hidden="1"/>
    </xf>
    <xf numFmtId="168" fontId="0" fillId="0" borderId="5" xfId="0" applyNumberForma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8" fontId="5" fillId="0" borderId="0" xfId="0" applyNumberFormat="1" applyFont="1" applyBorder="1" applyAlignment="1" applyProtection="1">
      <alignment horizontal="center"/>
      <protection hidden="1"/>
    </xf>
    <xf numFmtId="168" fontId="18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1" fontId="4" fillId="0" borderId="0" xfId="0" applyNumberFormat="1" applyFont="1" applyBorder="1" applyAlignment="1" applyProtection="1">
      <alignment horizontal="center" vertical="center"/>
      <protection locked="0"/>
    </xf>
    <xf numFmtId="171" fontId="22" fillId="0" borderId="0" xfId="0" applyNumberFormat="1" applyFont="1" applyAlignment="1" applyProtection="1">
      <alignment horizontal="center" vertical="center"/>
      <protection locked="0"/>
    </xf>
    <xf numFmtId="169" fontId="6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4" fillId="0" borderId="6" xfId="0" applyFont="1" applyBorder="1" applyAlignment="1" applyProtection="1">
      <alignment vertical="top" shrinkToFit="1"/>
      <protection locked="0"/>
    </xf>
    <xf numFmtId="0" fontId="0" fillId="0" borderId="7" xfId="0" applyBorder="1" applyAlignment="1" applyProtection="1">
      <alignment shrinkToFit="1"/>
      <protection locked="0"/>
    </xf>
    <xf numFmtId="0" fontId="0" fillId="0" borderId="8" xfId="0" applyBorder="1" applyAlignment="1" applyProtection="1">
      <alignment shrinkToFit="1"/>
      <protection locked="0"/>
    </xf>
    <xf numFmtId="0" fontId="4" fillId="0" borderId="1" xfId="0" applyFont="1" applyBorder="1" applyAlignment="1" applyProtection="1">
      <alignment shrinkToFit="1"/>
      <protection locked="0"/>
    </xf>
    <xf numFmtId="0" fontId="0" fillId="0" borderId="2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3" xfId="20"/>
    <cellStyle name="Standard 2" xfId="21"/>
    <cellStyle name="Prozent 2" xfId="22"/>
    <cellStyle name="verdecktes Datum" xfId="23"/>
    <cellStyle name="Hintergrund" xfId="24"/>
  </cellStyles>
  <dxfs count="31"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/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D6E5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</border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E5E5E5"/>
        </patternFill>
      </fill>
      <border/>
    </dxf>
    <dxf>
      <font>
        <color rgb="FF3F3F3E"/>
      </font>
      <fill>
        <patternFill>
          <bgColor rgb="FFE5E5E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3</xdr:col>
      <xdr:colOff>257175</xdr:colOff>
      <xdr:row>4</xdr:row>
      <xdr:rowOff>38100</xdr:rowOff>
    </xdr:to>
    <xdr:grpSp>
      <xdr:nvGrpSpPr>
        <xdr:cNvPr id="2" name="Group 33"/>
        <xdr:cNvGrpSpPr>
          <a:grpSpLocks/>
        </xdr:cNvGrpSpPr>
      </xdr:nvGrpSpPr>
      <xdr:grpSpPr bwMode="auto">
        <a:xfrm>
          <a:off x="104775" y="276225"/>
          <a:ext cx="523875" cy="600075"/>
          <a:chOff x="2017" y="2242"/>
          <a:chExt cx="2160" cy="1980"/>
        </a:xfrm>
      </xdr:grpSpPr>
      <xdr:sp macro="" textlink="">
        <xdr:nvSpPr>
          <xdr:cNvPr id="3" name="Rectangle 34"/>
          <xdr:cNvSpPr>
            <a:spLocks noChangeArrowheads="1"/>
          </xdr:cNvSpPr>
        </xdr:nvSpPr>
        <xdr:spPr bwMode="auto">
          <a:xfrm>
            <a:off x="2017" y="2242"/>
            <a:ext cx="216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5" descr="RDG Logo Graublau für COLIBRI"/>
          <xdr:cNvPicPr preferRelativeResize="0">
            <a:picLocks noChangeAspect="0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37" y="2317"/>
            <a:ext cx="1935" cy="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3</xdr:col>
      <xdr:colOff>400050</xdr:colOff>
      <xdr:row>3</xdr:row>
      <xdr:rowOff>104775</xdr:rowOff>
    </xdr:from>
    <xdr:to>
      <xdr:col>5</xdr:col>
      <xdr:colOff>276225</xdr:colOff>
      <xdr:row>4</xdr:row>
      <xdr:rowOff>28575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676275"/>
          <a:ext cx="1076325" cy="190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3</xdr:row>
      <xdr:rowOff>19050</xdr:rowOff>
    </xdr:from>
    <xdr:to>
      <xdr:col>2</xdr:col>
      <xdr:colOff>466725</xdr:colOff>
      <xdr:row>6</xdr:row>
      <xdr:rowOff>9525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33350" y="352425"/>
          <a:ext cx="571500" cy="571500"/>
          <a:chOff x="2017" y="2242"/>
          <a:chExt cx="2160" cy="198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017" y="2242"/>
            <a:ext cx="216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 descr="RDG Logo Graublau für COLIBRI"/>
          <xdr:cNvPicPr preferRelativeResize="0">
            <a:picLocks noChangeAspect="0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37" y="2317"/>
            <a:ext cx="1935" cy="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533400</xdr:colOff>
      <xdr:row>5</xdr:row>
      <xdr:rowOff>9525</xdr:rowOff>
    </xdr:from>
    <xdr:to>
      <xdr:col>3</xdr:col>
      <xdr:colOff>161925</xdr:colOff>
      <xdr:row>6</xdr:row>
      <xdr:rowOff>9525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33425"/>
          <a:ext cx="1076325" cy="190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4</xdr:row>
      <xdr:rowOff>9525</xdr:rowOff>
    </xdr:from>
    <xdr:to>
      <xdr:col>3</xdr:col>
      <xdr:colOff>295275</xdr:colOff>
      <xdr:row>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42875" y="533400"/>
          <a:ext cx="571500" cy="571500"/>
          <a:chOff x="2017" y="2242"/>
          <a:chExt cx="2160" cy="198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017" y="2242"/>
            <a:ext cx="216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 descr="RDG Logo Graublau für COLIBRI"/>
          <xdr:cNvPicPr preferRelativeResize="0">
            <a:picLocks noChangeAspect="0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37" y="2317"/>
            <a:ext cx="1935" cy="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3</xdr:col>
      <xdr:colOff>438150</xdr:colOff>
      <xdr:row>6</xdr:row>
      <xdr:rowOff>9525</xdr:rowOff>
    </xdr:from>
    <xdr:to>
      <xdr:col>4</xdr:col>
      <xdr:colOff>200025</xdr:colOff>
      <xdr:row>7</xdr:row>
      <xdr:rowOff>9525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923925"/>
          <a:ext cx="1076325" cy="190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4</xdr:row>
      <xdr:rowOff>9525</xdr:rowOff>
    </xdr:from>
    <xdr:to>
      <xdr:col>2</xdr:col>
      <xdr:colOff>476250</xdr:colOff>
      <xdr:row>7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42875" y="533400"/>
          <a:ext cx="571500" cy="571500"/>
          <a:chOff x="2017" y="2242"/>
          <a:chExt cx="2160" cy="198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017" y="2242"/>
            <a:ext cx="216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 descr="RDG Logo Graublau für COLIBRI"/>
          <xdr:cNvPicPr preferRelativeResize="0">
            <a:picLocks noChangeAspect="0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37" y="2317"/>
            <a:ext cx="1935" cy="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542925</xdr:colOff>
      <xdr:row>5</xdr:row>
      <xdr:rowOff>161925</xdr:rowOff>
    </xdr:from>
    <xdr:to>
      <xdr:col>3</xdr:col>
      <xdr:colOff>838200</xdr:colOff>
      <xdr:row>7</xdr:row>
      <xdr:rowOff>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914400"/>
          <a:ext cx="1076325" cy="1905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3</xdr:row>
      <xdr:rowOff>9525</xdr:rowOff>
    </xdr:from>
    <xdr:to>
      <xdr:col>2</xdr:col>
      <xdr:colOff>447675</xdr:colOff>
      <xdr:row>6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14300" y="342900"/>
          <a:ext cx="571500" cy="571500"/>
          <a:chOff x="2017" y="2242"/>
          <a:chExt cx="2160" cy="198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017" y="2242"/>
            <a:ext cx="2160" cy="198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4" name="Picture 3" descr="RDG Logo Graublau für COLIBRI"/>
          <xdr:cNvPicPr preferRelativeResize="0">
            <a:picLocks noChangeAspect="0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37" y="2317"/>
            <a:ext cx="1935" cy="17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2</xdr:col>
      <xdr:colOff>523875</xdr:colOff>
      <xdr:row>5</xdr:row>
      <xdr:rowOff>0</xdr:rowOff>
    </xdr:from>
    <xdr:to>
      <xdr:col>3</xdr:col>
      <xdr:colOff>819150</xdr:colOff>
      <xdr:row>6</xdr:row>
      <xdr:rowOff>0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00" y="723900"/>
          <a:ext cx="1076325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75000"/>
            <a:alpha val="20000"/>
          </a:schemeClr>
        </a:solidFill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98"/>
  <sheetViews>
    <sheetView showGridLines="0" showRowColHeaders="0" showZeros="0" tabSelected="1" workbookViewId="0" topLeftCell="A1">
      <selection activeCell="L14" sqref="L14"/>
    </sheetView>
  </sheetViews>
  <sheetFormatPr defaultColWidth="12.57421875" defaultRowHeight="12.75" outlineLevelRow="1"/>
  <cols>
    <col min="1" max="1" width="0.9921875" style="262" customWidth="1"/>
    <col min="2" max="2" width="3.57421875" style="262" customWidth="1"/>
    <col min="3" max="3" width="0.9921875" style="262" customWidth="1"/>
    <col min="4" max="4" width="14.421875" style="262" customWidth="1"/>
    <col min="5" max="5" width="3.57421875" style="262" customWidth="1"/>
    <col min="6" max="6" width="7.57421875" style="262" customWidth="1"/>
    <col min="7" max="7" width="35.00390625" style="262" customWidth="1"/>
    <col min="8" max="8" width="23.57421875" style="262" customWidth="1"/>
    <col min="9" max="9" width="0.9921875" style="262" customWidth="1"/>
    <col min="10" max="16384" width="12.57421875" style="262" customWidth="1"/>
  </cols>
  <sheetData>
    <row r="1" spans="4:7" ht="15">
      <c r="D1" s="354" t="s">
        <v>87</v>
      </c>
      <c r="E1" s="355"/>
      <c r="F1" s="263" t="s">
        <v>49</v>
      </c>
      <c r="G1" s="264"/>
    </row>
    <row r="2" ht="4.5" customHeight="1"/>
    <row r="3" spans="2:8" ht="25.5" customHeight="1">
      <c r="B3" s="269"/>
      <c r="C3" s="269"/>
      <c r="D3" s="364" t="s">
        <v>204</v>
      </c>
      <c r="E3" s="364"/>
      <c r="F3" s="364"/>
      <c r="G3" s="349" t="s">
        <v>206</v>
      </c>
      <c r="H3" s="270"/>
    </row>
    <row r="4" spans="2:8" ht="21" customHeight="1">
      <c r="B4" s="265"/>
      <c r="C4" s="266"/>
      <c r="D4" s="348"/>
      <c r="E4" s="348"/>
      <c r="F4" s="348"/>
      <c r="G4" s="350" t="s">
        <v>88</v>
      </c>
      <c r="H4" s="270"/>
    </row>
    <row r="5" spans="2:8" s="271" customFormat="1" ht="15" customHeight="1">
      <c r="B5" s="267"/>
      <c r="C5" s="268"/>
      <c r="D5" s="268">
        <f>Jahreswerte!D5</f>
        <v>0</v>
      </c>
      <c r="E5" s="268"/>
      <c r="F5" s="268"/>
      <c r="G5" s="269"/>
      <c r="H5" s="270"/>
    </row>
    <row r="6" spans="2:8" s="276" customFormat="1" ht="15" customHeight="1">
      <c r="B6" s="272"/>
      <c r="C6" s="273"/>
      <c r="D6" s="273" t="str">
        <f>Jahreswerte!F6</f>
        <v>Version 2020.02 - www.rdg-gmbh.de</v>
      </c>
      <c r="E6" s="273"/>
      <c r="F6" s="273"/>
      <c r="G6" s="274"/>
      <c r="H6" s="275"/>
    </row>
    <row r="7" s="277" customFormat="1" ht="4.5" customHeight="1">
      <c r="H7" s="278"/>
    </row>
    <row r="8" spans="4:8" s="277" customFormat="1" ht="15" customHeight="1" outlineLevel="1">
      <c r="D8" s="340" t="s">
        <v>199</v>
      </c>
      <c r="E8" s="341"/>
      <c r="F8" s="341"/>
      <c r="G8" s="341"/>
      <c r="H8" s="342"/>
    </row>
    <row r="9" spans="4:8" s="277" customFormat="1" ht="15" customHeight="1" outlineLevel="1">
      <c r="D9" s="343" t="s">
        <v>200</v>
      </c>
      <c r="E9" s="344"/>
      <c r="F9" s="344"/>
      <c r="G9" s="344"/>
      <c r="H9" s="345"/>
    </row>
    <row r="10" spans="4:8" s="277" customFormat="1" ht="5.1" customHeight="1" outlineLevel="1">
      <c r="D10" s="339"/>
      <c r="H10" s="278"/>
    </row>
    <row r="11" spans="2:8" s="330" customFormat="1" ht="15" customHeight="1" outlineLevel="1">
      <c r="B11" s="360" t="s">
        <v>198</v>
      </c>
      <c r="D11" s="331" t="s">
        <v>178</v>
      </c>
      <c r="E11" s="332"/>
      <c r="F11" s="332"/>
      <c r="G11" s="332"/>
      <c r="H11" s="333"/>
    </row>
    <row r="12" spans="2:8" ht="12.75" customHeight="1" outlineLevel="1">
      <c r="B12" s="361"/>
      <c r="D12" s="282" t="s">
        <v>179</v>
      </c>
      <c r="E12" s="283"/>
      <c r="F12" s="283"/>
      <c r="G12" s="283"/>
      <c r="H12" s="284"/>
    </row>
    <row r="13" spans="2:8" ht="12.75" outlineLevel="1">
      <c r="B13" s="362"/>
      <c r="D13" s="282" t="s">
        <v>180</v>
      </c>
      <c r="E13" s="283"/>
      <c r="F13" s="283"/>
      <c r="G13" s="283"/>
      <c r="H13" s="284"/>
    </row>
    <row r="14" spans="2:8" ht="12.75" outlineLevel="1">
      <c r="B14" s="362"/>
      <c r="D14" s="282" t="s">
        <v>181</v>
      </c>
      <c r="E14" s="283"/>
      <c r="F14" s="283"/>
      <c r="G14" s="283"/>
      <c r="H14" s="284"/>
    </row>
    <row r="15" spans="2:8" ht="12.75" outlineLevel="1">
      <c r="B15" s="362"/>
      <c r="D15" s="282" t="s">
        <v>182</v>
      </c>
      <c r="E15" s="283"/>
      <c r="F15" s="283"/>
      <c r="G15" s="283"/>
      <c r="H15" s="284"/>
    </row>
    <row r="16" spans="2:8" ht="12.75" outlineLevel="1">
      <c r="B16" s="362"/>
      <c r="D16" s="282" t="s">
        <v>183</v>
      </c>
      <c r="E16" s="283"/>
      <c r="F16" s="283"/>
      <c r="G16" s="283"/>
      <c r="H16" s="284"/>
    </row>
    <row r="17" spans="2:8" ht="12.75" outlineLevel="1">
      <c r="B17" s="362"/>
      <c r="D17" s="282" t="s">
        <v>184</v>
      </c>
      <c r="E17" s="283"/>
      <c r="F17" s="283"/>
      <c r="G17" s="283"/>
      <c r="H17" s="284"/>
    </row>
    <row r="18" spans="2:8" ht="12.75" outlineLevel="1">
      <c r="B18" s="362"/>
      <c r="D18" s="282" t="s">
        <v>185</v>
      </c>
      <c r="E18" s="283"/>
      <c r="F18" s="283"/>
      <c r="G18" s="283"/>
      <c r="H18" s="284"/>
    </row>
    <row r="19" spans="2:8" ht="12.75" outlineLevel="1">
      <c r="B19" s="362"/>
      <c r="D19" s="282" t="s">
        <v>186</v>
      </c>
      <c r="E19" s="283"/>
      <c r="F19" s="283"/>
      <c r="G19" s="283"/>
      <c r="H19" s="284"/>
    </row>
    <row r="20" spans="2:8" ht="15" customHeight="1" outlineLevel="1">
      <c r="B20" s="362"/>
      <c r="D20" s="334" t="s">
        <v>187</v>
      </c>
      <c r="E20" s="283"/>
      <c r="F20" s="283"/>
      <c r="G20" s="283"/>
      <c r="H20" s="284"/>
    </row>
    <row r="21" spans="2:8" ht="12.75" outlineLevel="1">
      <c r="B21" s="362"/>
      <c r="D21" s="282" t="s">
        <v>188</v>
      </c>
      <c r="E21" s="283"/>
      <c r="F21" s="283"/>
      <c r="G21" s="283"/>
      <c r="H21" s="284"/>
    </row>
    <row r="22" spans="2:8" ht="12.75" outlineLevel="1">
      <c r="B22" s="362"/>
      <c r="D22" s="282" t="s">
        <v>189</v>
      </c>
      <c r="E22" s="283"/>
      <c r="F22" s="283"/>
      <c r="G22" s="283"/>
      <c r="H22" s="284"/>
    </row>
    <row r="23" spans="2:8" ht="12.75" outlineLevel="1">
      <c r="B23" s="362"/>
      <c r="D23" s="282" t="s">
        <v>190</v>
      </c>
      <c r="E23" s="283"/>
      <c r="F23" s="283"/>
      <c r="G23" s="283"/>
      <c r="H23" s="284"/>
    </row>
    <row r="24" spans="2:8" ht="12.75" outlineLevel="1">
      <c r="B24" s="362"/>
      <c r="D24" s="282" t="s">
        <v>127</v>
      </c>
      <c r="E24" s="283"/>
      <c r="F24" s="283"/>
      <c r="G24" s="283"/>
      <c r="H24" s="284"/>
    </row>
    <row r="25" spans="2:8" ht="12.75" outlineLevel="1">
      <c r="B25" s="362"/>
      <c r="D25" s="282" t="s">
        <v>191</v>
      </c>
      <c r="E25" s="283"/>
      <c r="F25" s="283"/>
      <c r="G25" s="283"/>
      <c r="H25" s="284"/>
    </row>
    <row r="26" spans="2:8" ht="12.75" outlineLevel="1">
      <c r="B26" s="362"/>
      <c r="D26" s="282" t="s">
        <v>192</v>
      </c>
      <c r="E26" s="283"/>
      <c r="F26" s="283"/>
      <c r="G26" s="283"/>
      <c r="H26" s="284"/>
    </row>
    <row r="27" spans="2:8" ht="12.75" outlineLevel="1">
      <c r="B27" s="362"/>
      <c r="D27" s="282" t="s">
        <v>193</v>
      </c>
      <c r="E27" s="283"/>
      <c r="F27" s="283"/>
      <c r="G27" s="283"/>
      <c r="H27" s="284"/>
    </row>
    <row r="28" spans="2:8" ht="12.75" outlineLevel="1">
      <c r="B28" s="362"/>
      <c r="D28" s="282" t="s">
        <v>194</v>
      </c>
      <c r="E28" s="283"/>
      <c r="F28" s="283"/>
      <c r="G28" s="283"/>
      <c r="H28" s="284"/>
    </row>
    <row r="29" spans="2:8" ht="12.75" outlineLevel="1">
      <c r="B29" s="362"/>
      <c r="D29" s="282" t="s">
        <v>195</v>
      </c>
      <c r="E29" s="283"/>
      <c r="F29" s="283"/>
      <c r="G29" s="283"/>
      <c r="H29" s="284"/>
    </row>
    <row r="30" spans="2:8" ht="12.75" outlineLevel="1">
      <c r="B30" s="362"/>
      <c r="D30" s="282" t="s">
        <v>196</v>
      </c>
      <c r="E30" s="283"/>
      <c r="F30" s="283"/>
      <c r="G30" s="283"/>
      <c r="H30" s="284"/>
    </row>
    <row r="31" spans="2:8" s="335" customFormat="1" ht="15" customHeight="1" outlineLevel="1">
      <c r="B31" s="363"/>
      <c r="D31" s="336" t="s">
        <v>197</v>
      </c>
      <c r="E31" s="337"/>
      <c r="F31" s="337"/>
      <c r="G31" s="337"/>
      <c r="H31" s="338"/>
    </row>
    <row r="32" s="277" customFormat="1" ht="5.1" customHeight="1" outlineLevel="1">
      <c r="H32" s="278"/>
    </row>
    <row r="33" spans="2:8" ht="15" customHeight="1">
      <c r="B33" s="351" t="s">
        <v>89</v>
      </c>
      <c r="D33" s="279" t="s">
        <v>97</v>
      </c>
      <c r="E33" s="280"/>
      <c r="F33" s="280"/>
      <c r="G33" s="280"/>
      <c r="H33" s="281"/>
    </row>
    <row r="34" spans="2:8" ht="12.75">
      <c r="B34" s="352"/>
      <c r="D34" s="282" t="s">
        <v>98</v>
      </c>
      <c r="E34" s="283"/>
      <c r="F34" s="283"/>
      <c r="G34" s="283"/>
      <c r="H34" s="284"/>
    </row>
    <row r="35" spans="2:8" ht="12.75">
      <c r="B35" s="352"/>
      <c r="D35" s="282" t="s">
        <v>99</v>
      </c>
      <c r="E35" s="283"/>
      <c r="F35" s="283"/>
      <c r="G35" s="283"/>
      <c r="H35" s="284"/>
    </row>
    <row r="36" spans="2:8" ht="12.75">
      <c r="B36" s="352"/>
      <c r="D36" s="282" t="s">
        <v>100</v>
      </c>
      <c r="E36" s="283"/>
      <c r="F36" s="283"/>
      <c r="G36" s="283"/>
      <c r="H36" s="284"/>
    </row>
    <row r="37" spans="2:8" ht="12.75">
      <c r="B37" s="352"/>
      <c r="D37" s="282" t="s">
        <v>101</v>
      </c>
      <c r="E37" s="283"/>
      <c r="F37" s="283"/>
      <c r="G37" s="283"/>
      <c r="H37" s="284"/>
    </row>
    <row r="38" spans="2:8" ht="12.75">
      <c r="B38" s="352"/>
      <c r="D38" s="282" t="s">
        <v>102</v>
      </c>
      <c r="E38" s="283"/>
      <c r="F38" s="283"/>
      <c r="G38" s="283"/>
      <c r="H38" s="284"/>
    </row>
    <row r="39" spans="2:8" ht="15" customHeight="1">
      <c r="B39" s="352"/>
      <c r="D39" s="282" t="s">
        <v>103</v>
      </c>
      <c r="E39" s="283"/>
      <c r="F39" s="283"/>
      <c r="G39" s="283"/>
      <c r="H39" s="284"/>
    </row>
    <row r="40" spans="2:8" ht="12.75">
      <c r="B40" s="352"/>
      <c r="D40" s="282" t="s">
        <v>104</v>
      </c>
      <c r="E40" s="283"/>
      <c r="F40" s="283"/>
      <c r="G40" s="283"/>
      <c r="H40" s="284"/>
    </row>
    <row r="41" spans="2:8" ht="12.75">
      <c r="B41" s="352"/>
      <c r="D41" s="282" t="s">
        <v>105</v>
      </c>
      <c r="E41" s="283"/>
      <c r="F41" s="283"/>
      <c r="G41" s="283"/>
      <c r="H41" s="284"/>
    </row>
    <row r="42" spans="2:8" ht="12.75">
      <c r="B42" s="352"/>
      <c r="D42" s="282" t="s">
        <v>106</v>
      </c>
      <c r="E42" s="283"/>
      <c r="F42" s="283"/>
      <c r="G42" s="283"/>
      <c r="H42" s="284"/>
    </row>
    <row r="43" spans="2:8" ht="12.75">
      <c r="B43" s="352"/>
      <c r="D43" s="282" t="s">
        <v>107</v>
      </c>
      <c r="E43" s="283"/>
      <c r="F43" s="283"/>
      <c r="G43" s="283"/>
      <c r="H43" s="284"/>
    </row>
    <row r="44" spans="2:8" ht="12.75">
      <c r="B44" s="352"/>
      <c r="D44" s="282" t="s">
        <v>108</v>
      </c>
      <c r="E44" s="283"/>
      <c r="F44" s="283"/>
      <c r="G44" s="283"/>
      <c r="H44" s="284"/>
    </row>
    <row r="45" spans="2:8" ht="12.75">
      <c r="B45" s="352"/>
      <c r="D45" s="282" t="s">
        <v>109</v>
      </c>
      <c r="E45" s="283"/>
      <c r="F45" s="283"/>
      <c r="G45" s="283"/>
      <c r="H45" s="284"/>
    </row>
    <row r="46" spans="2:8" s="285" customFormat="1" ht="15" customHeight="1">
      <c r="B46" s="353"/>
      <c r="D46" s="286" t="s">
        <v>110</v>
      </c>
      <c r="E46" s="287"/>
      <c r="F46" s="287"/>
      <c r="G46" s="287"/>
      <c r="H46" s="288"/>
    </row>
    <row r="47" ht="5.1" customHeight="1"/>
    <row r="48" spans="2:8" ht="15" customHeight="1">
      <c r="B48" s="351" t="s">
        <v>90</v>
      </c>
      <c r="D48" s="279" t="s">
        <v>167</v>
      </c>
      <c r="E48" s="280"/>
      <c r="F48" s="280"/>
      <c r="G48" s="280"/>
      <c r="H48" s="281"/>
    </row>
    <row r="49" spans="2:8" ht="12.75">
      <c r="B49" s="356"/>
      <c r="D49" s="282" t="s">
        <v>111</v>
      </c>
      <c r="E49" s="283"/>
      <c r="F49" s="283"/>
      <c r="G49" s="283"/>
      <c r="H49" s="284"/>
    </row>
    <row r="50" spans="2:8" ht="12.75">
      <c r="B50" s="356"/>
      <c r="D50" s="282" t="s">
        <v>112</v>
      </c>
      <c r="E50" s="283"/>
      <c r="F50" s="283"/>
      <c r="G50" s="283"/>
      <c r="H50" s="284"/>
    </row>
    <row r="51" spans="2:8" ht="12.75">
      <c r="B51" s="356"/>
      <c r="D51" s="282" t="s">
        <v>113</v>
      </c>
      <c r="E51" s="283"/>
      <c r="F51" s="283"/>
      <c r="G51" s="283"/>
      <c r="H51" s="284"/>
    </row>
    <row r="52" spans="2:8" ht="12.75">
      <c r="B52" s="356"/>
      <c r="D52" s="282" t="s">
        <v>114</v>
      </c>
      <c r="E52" s="283"/>
      <c r="F52" s="283"/>
      <c r="G52" s="283"/>
      <c r="H52" s="284"/>
    </row>
    <row r="53" spans="2:8" ht="12.75">
      <c r="B53" s="356"/>
      <c r="D53" s="282" t="s">
        <v>168</v>
      </c>
      <c r="E53" s="283"/>
      <c r="F53" s="283"/>
      <c r="G53" s="283"/>
      <c r="H53" s="284"/>
    </row>
    <row r="54" spans="2:8" ht="12.75">
      <c r="B54" s="356"/>
      <c r="D54" s="282" t="s">
        <v>169</v>
      </c>
      <c r="E54" s="283"/>
      <c r="F54" s="283"/>
      <c r="G54" s="283"/>
      <c r="H54" s="284"/>
    </row>
    <row r="55" spans="2:8" ht="12.75">
      <c r="B55" s="356"/>
      <c r="D55" s="282" t="s">
        <v>91</v>
      </c>
      <c r="E55" s="283"/>
      <c r="F55" s="283"/>
      <c r="G55" s="283"/>
      <c r="H55" s="284"/>
    </row>
    <row r="56" spans="2:8" ht="12.75">
      <c r="B56" s="352"/>
      <c r="D56" s="282" t="s">
        <v>92</v>
      </c>
      <c r="E56" s="283"/>
      <c r="F56" s="283"/>
      <c r="G56" s="283"/>
      <c r="H56" s="284"/>
    </row>
    <row r="57" spans="2:8" ht="12.75">
      <c r="B57" s="352"/>
      <c r="D57" s="282" t="s">
        <v>93</v>
      </c>
      <c r="E57" s="283"/>
      <c r="F57" s="283"/>
      <c r="G57" s="283"/>
      <c r="H57" s="284"/>
    </row>
    <row r="58" spans="2:8" s="285" customFormat="1" ht="15" customHeight="1">
      <c r="B58" s="353"/>
      <c r="D58" s="286" t="s">
        <v>94</v>
      </c>
      <c r="E58" s="287"/>
      <c r="F58" s="287"/>
      <c r="G58" s="287"/>
      <c r="H58" s="288"/>
    </row>
    <row r="59" ht="5.1" customHeight="1"/>
    <row r="60" spans="2:8" ht="15" customHeight="1">
      <c r="B60" s="357" t="s">
        <v>95</v>
      </c>
      <c r="D60" s="279" t="s">
        <v>115</v>
      </c>
      <c r="E60" s="280"/>
      <c r="F60" s="280"/>
      <c r="G60" s="280"/>
      <c r="H60" s="281"/>
    </row>
    <row r="61" spans="2:8" ht="12.75" customHeight="1">
      <c r="B61" s="358"/>
      <c r="D61" s="282" t="s">
        <v>116</v>
      </c>
      <c r="E61" s="283"/>
      <c r="F61" s="283"/>
      <c r="G61" s="283"/>
      <c r="H61" s="284"/>
    </row>
    <row r="62" spans="2:8" ht="12.75">
      <c r="B62" s="358"/>
      <c r="D62" s="282" t="s">
        <v>117</v>
      </c>
      <c r="E62" s="283"/>
      <c r="F62" s="283"/>
      <c r="G62" s="283"/>
      <c r="H62" s="284"/>
    </row>
    <row r="63" spans="2:8" ht="12.75">
      <c r="B63" s="358"/>
      <c r="D63" s="282" t="s">
        <v>118</v>
      </c>
      <c r="E63" s="283"/>
      <c r="F63" s="283"/>
      <c r="G63" s="283"/>
      <c r="H63" s="284"/>
    </row>
    <row r="64" spans="2:8" ht="12.75">
      <c r="B64" s="358"/>
      <c r="D64" s="282" t="s">
        <v>119</v>
      </c>
      <c r="E64" s="283"/>
      <c r="F64" s="283"/>
      <c r="G64" s="283"/>
      <c r="H64" s="284"/>
    </row>
    <row r="65" spans="2:8" ht="12.75">
      <c r="B65" s="358"/>
      <c r="D65" s="282" t="s">
        <v>120</v>
      </c>
      <c r="E65" s="283"/>
      <c r="F65" s="283"/>
      <c r="G65" s="283"/>
      <c r="H65" s="284"/>
    </row>
    <row r="66" spans="2:8" ht="12.75">
      <c r="B66" s="358"/>
      <c r="D66" s="282" t="s">
        <v>125</v>
      </c>
      <c r="E66" s="283"/>
      <c r="F66" s="283"/>
      <c r="G66" s="283"/>
      <c r="H66" s="284"/>
    </row>
    <row r="67" spans="2:8" ht="12.75">
      <c r="B67" s="358"/>
      <c r="D67" s="282" t="s">
        <v>126</v>
      </c>
      <c r="E67" s="283"/>
      <c r="F67" s="283"/>
      <c r="G67" s="283"/>
      <c r="H67" s="284"/>
    </row>
    <row r="68" spans="2:8" ht="12.75">
      <c r="B68" s="358"/>
      <c r="D68" s="282" t="s">
        <v>127</v>
      </c>
      <c r="E68" s="283"/>
      <c r="F68" s="283"/>
      <c r="G68" s="283"/>
      <c r="H68" s="284"/>
    </row>
    <row r="69" spans="2:8" ht="12.75">
      <c r="B69" s="358"/>
      <c r="D69" s="282" t="s">
        <v>128</v>
      </c>
      <c r="E69" s="283"/>
      <c r="F69" s="283"/>
      <c r="G69" s="283"/>
      <c r="H69" s="284"/>
    </row>
    <row r="70" spans="2:8" ht="12.75">
      <c r="B70" s="358"/>
      <c r="D70" s="282" t="s">
        <v>129</v>
      </c>
      <c r="E70" s="283"/>
      <c r="F70" s="283"/>
      <c r="G70" s="283"/>
      <c r="H70" s="284"/>
    </row>
    <row r="71" spans="2:8" ht="12.75">
      <c r="B71" s="358"/>
      <c r="D71" s="282" t="s">
        <v>121</v>
      </c>
      <c r="E71" s="283"/>
      <c r="F71" s="283"/>
      <c r="G71" s="283"/>
      <c r="H71" s="284"/>
    </row>
    <row r="72" spans="2:8" ht="12.75">
      <c r="B72" s="358"/>
      <c r="D72" s="282" t="s">
        <v>122</v>
      </c>
      <c r="E72" s="283"/>
      <c r="F72" s="283"/>
      <c r="G72" s="283"/>
      <c r="H72" s="284"/>
    </row>
    <row r="73" spans="2:8" ht="12.75">
      <c r="B73" s="358"/>
      <c r="D73" s="282" t="s">
        <v>123</v>
      </c>
      <c r="E73" s="283"/>
      <c r="F73" s="283"/>
      <c r="G73" s="283"/>
      <c r="H73" s="284"/>
    </row>
    <row r="74" spans="2:8" s="285" customFormat="1" ht="12.75" customHeight="1">
      <c r="B74" s="358"/>
      <c r="D74" s="327" t="s">
        <v>124</v>
      </c>
      <c r="E74" s="328"/>
      <c r="F74" s="328"/>
      <c r="G74" s="328"/>
      <c r="H74" s="329"/>
    </row>
    <row r="75" spans="2:8" s="285" customFormat="1" ht="12.75" customHeight="1">
      <c r="B75" s="358"/>
      <c r="D75" s="327" t="s">
        <v>170</v>
      </c>
      <c r="E75" s="328"/>
      <c r="F75" s="328"/>
      <c r="G75" s="328"/>
      <c r="H75" s="329"/>
    </row>
    <row r="76" spans="2:8" s="285" customFormat="1" ht="12.75" customHeight="1">
      <c r="B76" s="358"/>
      <c r="D76" s="327" t="s">
        <v>171</v>
      </c>
      <c r="E76" s="328"/>
      <c r="F76" s="328"/>
      <c r="G76" s="328"/>
      <c r="H76" s="329"/>
    </row>
    <row r="77" spans="2:8" s="285" customFormat="1" ht="15" customHeight="1">
      <c r="B77" s="359"/>
      <c r="D77" s="286" t="s">
        <v>172</v>
      </c>
      <c r="E77" s="287"/>
      <c r="F77" s="287"/>
      <c r="G77" s="287"/>
      <c r="H77" s="288"/>
    </row>
    <row r="78" ht="5.1" customHeight="1"/>
    <row r="79" spans="2:8" ht="15" customHeight="1">
      <c r="B79" s="351" t="s">
        <v>96</v>
      </c>
      <c r="D79" s="279" t="s">
        <v>130</v>
      </c>
      <c r="E79" s="280"/>
      <c r="F79" s="280"/>
      <c r="G79" s="280"/>
      <c r="H79" s="281"/>
    </row>
    <row r="80" spans="2:8" ht="12.75">
      <c r="B80" s="352"/>
      <c r="D80" s="282" t="s">
        <v>131</v>
      </c>
      <c r="E80" s="283"/>
      <c r="F80" s="283"/>
      <c r="G80" s="283"/>
      <c r="H80" s="284"/>
    </row>
    <row r="81" spans="2:8" ht="12.75">
      <c r="B81" s="352"/>
      <c r="D81" s="282" t="s">
        <v>132</v>
      </c>
      <c r="E81" s="283"/>
      <c r="F81" s="283"/>
      <c r="G81" s="283"/>
      <c r="H81" s="284"/>
    </row>
    <row r="82" spans="2:8" ht="12.75">
      <c r="B82" s="352"/>
      <c r="D82" s="282" t="s">
        <v>139</v>
      </c>
      <c r="E82" s="283"/>
      <c r="F82" s="283"/>
      <c r="G82" s="283"/>
      <c r="H82" s="284"/>
    </row>
    <row r="83" spans="2:8" ht="12.75">
      <c r="B83" s="352"/>
      <c r="D83" s="282" t="s">
        <v>133</v>
      </c>
      <c r="E83" s="283"/>
      <c r="F83" s="283"/>
      <c r="G83" s="283"/>
      <c r="H83" s="284"/>
    </row>
    <row r="84" spans="2:8" ht="12.75">
      <c r="B84" s="352"/>
      <c r="D84" s="282" t="s">
        <v>134</v>
      </c>
      <c r="E84" s="283"/>
      <c r="F84" s="283"/>
      <c r="G84" s="283"/>
      <c r="H84" s="284"/>
    </row>
    <row r="85" spans="2:8" ht="12.75">
      <c r="B85" s="352"/>
      <c r="D85" s="282" t="s">
        <v>135</v>
      </c>
      <c r="E85" s="283"/>
      <c r="F85" s="283"/>
      <c r="G85" s="283"/>
      <c r="H85" s="284"/>
    </row>
    <row r="86" spans="2:8" ht="12.75">
      <c r="B86" s="352"/>
      <c r="D86" s="282" t="s">
        <v>143</v>
      </c>
      <c r="E86" s="283"/>
      <c r="F86" s="283"/>
      <c r="G86" s="283"/>
      <c r="H86" s="284"/>
    </row>
    <row r="87" spans="2:8" ht="12.75">
      <c r="B87" s="352"/>
      <c r="D87" s="282" t="s">
        <v>144</v>
      </c>
      <c r="E87" s="283"/>
      <c r="F87" s="283"/>
      <c r="G87" s="283"/>
      <c r="H87" s="284"/>
    </row>
    <row r="88" spans="2:8" ht="12.75">
      <c r="B88" s="352"/>
      <c r="D88" s="282" t="s">
        <v>136</v>
      </c>
      <c r="E88" s="283"/>
      <c r="F88" s="283"/>
      <c r="G88" s="283"/>
      <c r="H88" s="284"/>
    </row>
    <row r="89" spans="2:8" ht="12.75">
      <c r="B89" s="352"/>
      <c r="D89" s="282" t="s">
        <v>137</v>
      </c>
      <c r="E89" s="283"/>
      <c r="F89" s="283"/>
      <c r="G89" s="283"/>
      <c r="H89" s="284"/>
    </row>
    <row r="90" spans="2:8" ht="12.75">
      <c r="B90" s="352"/>
      <c r="D90" s="282" t="s">
        <v>138</v>
      </c>
      <c r="E90" s="283"/>
      <c r="F90" s="283"/>
      <c r="G90" s="283"/>
      <c r="H90" s="284"/>
    </row>
    <row r="91" spans="2:8" ht="12.75">
      <c r="B91" s="352"/>
      <c r="D91" s="282" t="s">
        <v>140</v>
      </c>
      <c r="E91" s="283"/>
      <c r="F91" s="283"/>
      <c r="G91" s="283"/>
      <c r="H91" s="284"/>
    </row>
    <row r="92" spans="2:8" ht="12.75">
      <c r="B92" s="352"/>
      <c r="D92" s="282" t="s">
        <v>141</v>
      </c>
      <c r="E92" s="283"/>
      <c r="F92" s="283"/>
      <c r="G92" s="283"/>
      <c r="H92" s="284"/>
    </row>
    <row r="93" spans="2:8" s="285" customFormat="1" ht="12.75" customHeight="1">
      <c r="B93" s="352"/>
      <c r="D93" s="327" t="s">
        <v>142</v>
      </c>
      <c r="E93" s="328"/>
      <c r="F93" s="328"/>
      <c r="G93" s="328"/>
      <c r="H93" s="329"/>
    </row>
    <row r="94" spans="2:8" ht="12.75">
      <c r="B94" s="352"/>
      <c r="D94" s="282" t="s">
        <v>173</v>
      </c>
      <c r="E94" s="283"/>
      <c r="F94" s="283"/>
      <c r="G94" s="283"/>
      <c r="H94" s="284"/>
    </row>
    <row r="95" spans="2:8" ht="12.75">
      <c r="B95" s="352"/>
      <c r="D95" s="282" t="s">
        <v>174</v>
      </c>
      <c r="E95" s="283"/>
      <c r="F95" s="283"/>
      <c r="G95" s="283"/>
      <c r="H95" s="284"/>
    </row>
    <row r="96" spans="2:8" ht="12.75">
      <c r="B96" s="352"/>
      <c r="D96" s="282" t="s">
        <v>175</v>
      </c>
      <c r="E96" s="283"/>
      <c r="F96" s="283"/>
      <c r="G96" s="283"/>
      <c r="H96" s="284"/>
    </row>
    <row r="97" spans="2:8" ht="12.75">
      <c r="B97" s="352"/>
      <c r="D97" s="282" t="s">
        <v>176</v>
      </c>
      <c r="E97" s="283"/>
      <c r="F97" s="283"/>
      <c r="G97" s="283"/>
      <c r="H97" s="284"/>
    </row>
    <row r="98" spans="2:8" s="285" customFormat="1" ht="15" customHeight="1">
      <c r="B98" s="353"/>
      <c r="D98" s="286" t="s">
        <v>177</v>
      </c>
      <c r="E98" s="287"/>
      <c r="F98" s="287"/>
      <c r="G98" s="287"/>
      <c r="H98" s="288"/>
    </row>
    <row r="99" ht="5.1" customHeight="1"/>
  </sheetData>
  <sheetProtection password="DD7A" sheet="1" objects="1" scenarios="1"/>
  <mergeCells count="7">
    <mergeCell ref="B79:B98"/>
    <mergeCell ref="D1:E1"/>
    <mergeCell ref="B33:B46"/>
    <mergeCell ref="B48:B58"/>
    <mergeCell ref="B60:B77"/>
    <mergeCell ref="B11:B31"/>
    <mergeCell ref="D3:F3"/>
  </mergeCells>
  <conditionalFormatting sqref="B5:H6 B33 B48 B60 B79 B4:C4 G3:H4">
    <cfRule type="expression" priority="8" dxfId="1">
      <formula>$F$1="grau"</formula>
    </cfRule>
  </conditionalFormatting>
  <conditionalFormatting sqref="B11:B12">
    <cfRule type="expression" priority="7" dxfId="1">
      <formula>$F$1="grau"</formula>
    </cfRule>
  </conditionalFormatting>
  <conditionalFormatting sqref="B3">
    <cfRule type="expression" priority="4" dxfId="1">
      <formula>$F$1="grau"</formula>
    </cfRule>
  </conditionalFormatting>
  <conditionalFormatting sqref="C3">
    <cfRule type="expression" priority="3" dxfId="1">
      <formula>$F$1="grau"</formula>
    </cfRule>
  </conditionalFormatting>
  <conditionalFormatting sqref="D3">
    <cfRule type="expression" priority="1" dxfId="1" stopIfTrue="1">
      <formula>$E$1="grau"</formula>
    </cfRule>
  </conditionalFormatting>
  <conditionalFormatting sqref="D3">
    <cfRule type="expression" priority="2" dxfId="0" stopIfTrue="1">
      <formula>AND($M$1="ja",CELL("schutz",D3)=0)</formula>
    </cfRule>
  </conditionalFormatting>
  <dataValidations count="1" disablePrompts="1">
    <dataValidation type="list" allowBlank="1" showInputMessage="1" showErrorMessage="1" error="Bitte wählen Sie eine gültige Farbe aus." sqref="F1">
      <formula1>"blau,grau"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W46"/>
  <sheetViews>
    <sheetView showGridLines="0" showRowColHeaders="0" workbookViewId="0" topLeftCell="A1">
      <selection activeCell="C4" sqref="C4:D5"/>
    </sheetView>
  </sheetViews>
  <sheetFormatPr defaultColWidth="11.421875" defaultRowHeight="12.75" customHeight="1"/>
  <cols>
    <col min="1" max="1" width="0.85546875" style="1" customWidth="1"/>
    <col min="2" max="2" width="2.7109375" style="2" customWidth="1"/>
    <col min="3" max="3" width="21.7109375" style="1" customWidth="1"/>
    <col min="4" max="4" width="6.7109375" style="1" customWidth="1"/>
    <col min="5" max="5" width="5.28125" style="3" customWidth="1"/>
    <col min="6" max="6" width="18.7109375" style="1" customWidth="1"/>
    <col min="7" max="7" width="6.7109375" style="1" customWidth="1"/>
    <col min="8" max="8" width="5.28125" style="2" customWidth="1"/>
    <col min="9" max="9" width="0.85546875" style="2" customWidth="1"/>
    <col min="10" max="11" width="8.7109375" style="1" customWidth="1"/>
    <col min="12" max="12" width="0.85546875" style="2" customWidth="1"/>
    <col min="13" max="14" width="2.7109375" style="2" customWidth="1"/>
    <col min="15" max="15" width="7.7109375" style="2" customWidth="1"/>
    <col min="16" max="16" width="12.7109375" style="1" customWidth="1"/>
    <col min="17" max="17" width="6.7109375" style="1" customWidth="1"/>
    <col min="18" max="18" width="5.7109375" style="2" customWidth="1"/>
    <col min="19" max="19" width="18.7109375" style="1" customWidth="1"/>
    <col min="20" max="20" width="6.7109375" style="1" customWidth="1"/>
    <col min="21" max="21" width="6.7109375" style="17" customWidth="1"/>
    <col min="22" max="22" width="0.85546875" style="1" customWidth="1"/>
    <col min="23" max="23" width="40.7109375" style="1" customWidth="1"/>
    <col min="24" max="16384" width="11.421875" style="1" customWidth="1"/>
  </cols>
  <sheetData>
    <row r="1" spans="3:21" s="39" customFormat="1" ht="15" customHeight="1">
      <c r="C1" s="37" t="s">
        <v>48</v>
      </c>
      <c r="D1" s="40" t="s">
        <v>49</v>
      </c>
      <c r="E1" s="41"/>
      <c r="G1" s="37" t="s">
        <v>38</v>
      </c>
      <c r="H1" s="42" t="s">
        <v>39</v>
      </c>
      <c r="U1" s="37"/>
    </row>
    <row r="2" spans="3:7" ht="5.25" customHeight="1">
      <c r="C2" s="7"/>
      <c r="D2" s="30"/>
      <c r="F2" s="7"/>
      <c r="G2" s="30"/>
    </row>
    <row r="3" spans="2:21" ht="6" customHeight="1">
      <c r="B3" s="45"/>
      <c r="C3" s="46"/>
      <c r="D3" s="47"/>
      <c r="E3" s="48"/>
      <c r="F3" s="46"/>
      <c r="G3" s="47"/>
      <c r="H3" s="49"/>
      <c r="I3" s="49"/>
      <c r="J3" s="50"/>
      <c r="K3" s="50"/>
      <c r="L3" s="49"/>
      <c r="M3" s="49"/>
      <c r="N3" s="49"/>
      <c r="O3" s="49"/>
      <c r="P3" s="50"/>
      <c r="Q3" s="50"/>
      <c r="R3" s="49"/>
      <c r="S3" s="50"/>
      <c r="T3" s="50"/>
      <c r="U3" s="51"/>
    </row>
    <row r="4" spans="2:21" ht="18" customHeight="1">
      <c r="B4" s="52"/>
      <c r="C4" s="364" t="s">
        <v>204</v>
      </c>
      <c r="D4" s="364"/>
      <c r="E4" s="24"/>
      <c r="F4" s="23"/>
      <c r="G4" s="25"/>
      <c r="H4" s="26"/>
      <c r="I4" s="26"/>
      <c r="J4" s="385" t="s">
        <v>44</v>
      </c>
      <c r="K4" s="386"/>
      <c r="L4" s="114"/>
      <c r="M4" s="387"/>
      <c r="N4" s="388"/>
      <c r="O4" s="388"/>
      <c r="P4" s="388"/>
      <c r="Q4" s="388"/>
      <c r="R4" s="388"/>
      <c r="S4" s="388"/>
      <c r="T4" s="388"/>
      <c r="U4" s="53"/>
    </row>
    <row r="5" spans="2:21" ht="12.75" customHeight="1">
      <c r="B5" s="52"/>
      <c r="C5" s="364"/>
      <c r="D5" s="364"/>
      <c r="E5" s="24"/>
      <c r="F5" s="23"/>
      <c r="G5" s="25"/>
      <c r="H5" s="26"/>
      <c r="I5" s="26"/>
      <c r="J5" s="385" t="s">
        <v>40</v>
      </c>
      <c r="K5" s="386"/>
      <c r="L5" s="114"/>
      <c r="M5" s="387"/>
      <c r="N5" s="388"/>
      <c r="O5" s="388"/>
      <c r="P5" s="388"/>
      <c r="Q5" s="388"/>
      <c r="R5" s="388"/>
      <c r="S5" s="388"/>
      <c r="T5" s="388"/>
      <c r="U5" s="53"/>
    </row>
    <row r="6" spans="2:21" ht="15">
      <c r="B6" s="52"/>
      <c r="C6" s="23"/>
      <c r="D6" s="347"/>
      <c r="E6" s="24"/>
      <c r="F6" s="256" t="s">
        <v>203</v>
      </c>
      <c r="G6" s="25"/>
      <c r="H6" s="26"/>
      <c r="I6" s="26"/>
      <c r="J6" s="385" t="s">
        <v>45</v>
      </c>
      <c r="K6" s="386"/>
      <c r="L6" s="114"/>
      <c r="M6" s="389">
        <v>2020</v>
      </c>
      <c r="N6" s="390"/>
      <c r="O6" s="390"/>
      <c r="P6" s="115"/>
      <c r="Q6" s="27"/>
      <c r="R6" s="27"/>
      <c r="S6" s="27"/>
      <c r="T6" s="27"/>
      <c r="U6" s="53"/>
    </row>
    <row r="7" spans="2:21" ht="6" customHeight="1">
      <c r="B7" s="54"/>
      <c r="C7" s="55"/>
      <c r="D7" s="55"/>
      <c r="E7" s="56"/>
      <c r="F7" s="55"/>
      <c r="G7" s="55"/>
      <c r="H7" s="57"/>
      <c r="I7" s="57"/>
      <c r="J7" s="55"/>
      <c r="K7" s="55"/>
      <c r="L7" s="57"/>
      <c r="M7" s="57"/>
      <c r="N7" s="57"/>
      <c r="O7" s="57"/>
      <c r="P7" s="55"/>
      <c r="Q7" s="55"/>
      <c r="R7" s="57"/>
      <c r="S7" s="55"/>
      <c r="T7" s="55"/>
      <c r="U7" s="58"/>
    </row>
    <row r="8" spans="2:21" ht="6" customHeight="1">
      <c r="B8" s="31"/>
      <c r="C8" s="32"/>
      <c r="D8" s="32"/>
      <c r="E8" s="33"/>
      <c r="F8" s="32"/>
      <c r="G8" s="32"/>
      <c r="H8" s="31"/>
      <c r="I8" s="31"/>
      <c r="J8" s="32"/>
      <c r="K8" s="32"/>
      <c r="L8" s="31"/>
      <c r="M8" s="31"/>
      <c r="N8" s="31"/>
      <c r="O8" s="31"/>
      <c r="P8" s="32"/>
      <c r="Q8" s="32"/>
      <c r="R8" s="31"/>
      <c r="S8" s="32"/>
      <c r="T8" s="32"/>
      <c r="U8" s="34"/>
    </row>
    <row r="9" spans="2:21" ht="15" customHeight="1">
      <c r="B9" s="369" t="s">
        <v>68</v>
      </c>
      <c r="C9" s="383"/>
      <c r="D9" s="383"/>
      <c r="E9" s="384"/>
      <c r="J9" s="394" t="s">
        <v>54</v>
      </c>
      <c r="K9" s="373" t="s">
        <v>35</v>
      </c>
      <c r="M9" s="59"/>
      <c r="N9" s="73"/>
      <c r="O9" s="73"/>
      <c r="P9" s="60"/>
      <c r="Q9" s="60"/>
      <c r="R9" s="73"/>
      <c r="S9" s="60"/>
      <c r="T9" s="375" t="s">
        <v>41</v>
      </c>
      <c r="U9" s="373"/>
    </row>
    <row r="10" spans="2:21" ht="15">
      <c r="B10" s="391" t="str">
        <f>IF(ISNUMBER(M6),M6-1,"")&amp;IF(ISNUMBER(P6)," / "&amp;P6-1,"")</f>
        <v>2019</v>
      </c>
      <c r="C10" s="392"/>
      <c r="D10" s="392"/>
      <c r="E10" s="393"/>
      <c r="J10" s="395"/>
      <c r="K10" s="374"/>
      <c r="M10" s="391" t="str">
        <f>"Plan-GuV "&amp;M6&amp;IF(ISNUMBER(P6)," / "&amp;P6,"")</f>
        <v>Plan-GuV 2020</v>
      </c>
      <c r="N10" s="392"/>
      <c r="O10" s="392"/>
      <c r="P10" s="392"/>
      <c r="Q10" s="392"/>
      <c r="R10" s="392"/>
      <c r="T10" s="376"/>
      <c r="U10" s="374"/>
    </row>
    <row r="11" spans="2:21" s="5" customFormat="1" ht="12.75">
      <c r="B11" s="61"/>
      <c r="D11" s="5" t="s">
        <v>8</v>
      </c>
      <c r="E11" s="62" t="s">
        <v>34</v>
      </c>
      <c r="F11" s="1"/>
      <c r="G11" s="7" t="s">
        <v>69</v>
      </c>
      <c r="J11" s="61" t="s">
        <v>32</v>
      </c>
      <c r="K11" s="62" t="s">
        <v>32</v>
      </c>
      <c r="M11" s="61"/>
      <c r="Q11" s="5" t="s">
        <v>8</v>
      </c>
      <c r="R11" s="5" t="s">
        <v>34</v>
      </c>
      <c r="T11" s="5" t="s">
        <v>8</v>
      </c>
      <c r="U11" s="62" t="s">
        <v>34</v>
      </c>
    </row>
    <row r="12" spans="2:21" ht="15" customHeight="1">
      <c r="B12" s="63">
        <v>1</v>
      </c>
      <c r="C12" s="1" t="s">
        <v>9</v>
      </c>
      <c r="D12" s="6"/>
      <c r="E12" s="64" t="str">
        <f>IF(D$15=0,"-       ",D12/$D$15%)</f>
        <v xml:space="preserve">-       </v>
      </c>
      <c r="G12" s="8">
        <v>12</v>
      </c>
      <c r="J12" s="105"/>
      <c r="K12" s="72"/>
      <c r="M12" s="63">
        <v>1</v>
      </c>
      <c r="N12" s="367" t="str">
        <f>C12</f>
        <v>Umsatz</v>
      </c>
      <c r="O12" s="367"/>
      <c r="P12" s="368"/>
      <c r="Q12" s="9">
        <f>IF(ISBLANK(J12),(D12+K12),(J12+K12))</f>
        <v>0</v>
      </c>
      <c r="R12" s="10" t="str">
        <f>IF(Q$15=0,"-       ",Q12/$Q$15%)</f>
        <v xml:space="preserve">-       </v>
      </c>
      <c r="T12" s="9">
        <f aca="true" t="shared" si="0" ref="T12:T27">Q12-D12</f>
        <v>0</v>
      </c>
      <c r="U12" s="74" t="str">
        <f aca="true" t="shared" si="1" ref="U12:U27">IF(ISERROR(T12/D12%),"-         ",T12/D12%)</f>
        <v xml:space="preserve">-         </v>
      </c>
    </row>
    <row r="13" spans="2:21" ht="12.75">
      <c r="B13" s="63">
        <f>B12+1</f>
        <v>2</v>
      </c>
      <c r="C13" s="1" t="s">
        <v>10</v>
      </c>
      <c r="D13" s="6"/>
      <c r="E13" s="64" t="str">
        <f aca="true" t="shared" si="2" ref="E13:E27">IF(D$15=0,"-       ",D13/$D$15%)</f>
        <v xml:space="preserve">-       </v>
      </c>
      <c r="J13" s="105"/>
      <c r="K13" s="72"/>
      <c r="M13" s="63">
        <f>M12+1</f>
        <v>2</v>
      </c>
      <c r="N13" s="367" t="str">
        <f aca="true" t="shared" si="3" ref="N13:N27">C13</f>
        <v>Bestandsveränderungen</v>
      </c>
      <c r="O13" s="367"/>
      <c r="P13" s="368"/>
      <c r="Q13" s="9">
        <f>IF(ISBLANK(J13),(D13+K13),(J13+K13))</f>
        <v>0</v>
      </c>
      <c r="R13" s="11" t="str">
        <f aca="true" t="shared" si="4" ref="R13:R27">IF(Q$15=0,"-       ",Q13/$Q$15%)</f>
        <v xml:space="preserve">-       </v>
      </c>
      <c r="T13" s="9">
        <f t="shared" si="0"/>
        <v>0</v>
      </c>
      <c r="U13" s="74" t="str">
        <f t="shared" si="1"/>
        <v xml:space="preserve">-         </v>
      </c>
    </row>
    <row r="14" spans="2:21" s="93" customFormat="1" ht="15" customHeight="1">
      <c r="B14" s="94">
        <f aca="true" t="shared" si="5" ref="B14:B27">B13+1</f>
        <v>3</v>
      </c>
      <c r="C14" s="93" t="s">
        <v>11</v>
      </c>
      <c r="D14" s="95"/>
      <c r="E14" s="96" t="str">
        <f t="shared" si="2"/>
        <v xml:space="preserve">-       </v>
      </c>
      <c r="H14" s="97"/>
      <c r="I14" s="97"/>
      <c r="J14" s="106"/>
      <c r="K14" s="99"/>
      <c r="L14" s="97"/>
      <c r="M14" s="94">
        <f aca="true" t="shared" si="6" ref="M14:M27">M13+1</f>
        <v>3</v>
      </c>
      <c r="N14" s="377" t="str">
        <f t="shared" si="3"/>
        <v>Aktivierte Eigenleistungen</v>
      </c>
      <c r="O14" s="377"/>
      <c r="P14" s="378"/>
      <c r="Q14" s="100">
        <f>IF(ISBLANK(J14),(D14+K14),(J14+K14))</f>
        <v>0</v>
      </c>
      <c r="R14" s="101" t="str">
        <f t="shared" si="4"/>
        <v xml:space="preserve">-       </v>
      </c>
      <c r="T14" s="100">
        <f t="shared" si="0"/>
        <v>0</v>
      </c>
      <c r="U14" s="102" t="str">
        <f t="shared" si="1"/>
        <v xml:space="preserve">-         </v>
      </c>
    </row>
    <row r="15" spans="2:21" s="39" customFormat="1" ht="17.25" customHeight="1">
      <c r="B15" s="217">
        <f t="shared" si="5"/>
        <v>4</v>
      </c>
      <c r="C15" s="219" t="s">
        <v>12</v>
      </c>
      <c r="D15" s="220">
        <f>D12+D13+D14</f>
        <v>0</v>
      </c>
      <c r="E15" s="223" t="str">
        <f t="shared" si="2"/>
        <v xml:space="preserve">-       </v>
      </c>
      <c r="H15" s="36"/>
      <c r="I15" s="36"/>
      <c r="J15" s="107"/>
      <c r="K15" s="84"/>
      <c r="L15" s="36"/>
      <c r="M15" s="217">
        <f t="shared" si="6"/>
        <v>4</v>
      </c>
      <c r="N15" s="365" t="str">
        <f t="shared" si="3"/>
        <v>Gesamtleistung</v>
      </c>
      <c r="O15" s="365"/>
      <c r="P15" s="366"/>
      <c r="Q15" s="220">
        <f>Q12+Q13+Q14</f>
        <v>0</v>
      </c>
      <c r="R15" s="226" t="str">
        <f t="shared" si="4"/>
        <v xml:space="preserve">-       </v>
      </c>
      <c r="S15" s="219"/>
      <c r="T15" s="220">
        <f t="shared" si="0"/>
        <v>0</v>
      </c>
      <c r="U15" s="221" t="str">
        <f t="shared" si="1"/>
        <v xml:space="preserve">-         </v>
      </c>
    </row>
    <row r="16" spans="2:21" ht="15" customHeight="1">
      <c r="B16" s="63">
        <f t="shared" si="5"/>
        <v>5</v>
      </c>
      <c r="C16" s="1" t="s">
        <v>43</v>
      </c>
      <c r="D16" s="29"/>
      <c r="E16" s="64" t="str">
        <f t="shared" si="2"/>
        <v xml:space="preserve">-       </v>
      </c>
      <c r="J16" s="105"/>
      <c r="K16" s="72"/>
      <c r="M16" s="63">
        <f t="shared" si="6"/>
        <v>5</v>
      </c>
      <c r="N16" s="367" t="str">
        <f t="shared" si="3"/>
        <v>Materialaufwand</v>
      </c>
      <c r="O16" s="367"/>
      <c r="P16" s="368"/>
      <c r="Q16" s="9">
        <f>IF(ISBLANK(J16),IF(ISERROR(Q15*E16%+K16),D16+K16,Q15*E16%+K16),(J16+K16))</f>
        <v>0</v>
      </c>
      <c r="R16" s="11" t="str">
        <f t="shared" si="4"/>
        <v xml:space="preserve">-       </v>
      </c>
      <c r="T16" s="9">
        <f t="shared" si="0"/>
        <v>0</v>
      </c>
      <c r="U16" s="74" t="str">
        <f t="shared" si="1"/>
        <v xml:space="preserve">-         </v>
      </c>
    </row>
    <row r="17" spans="2:21" s="93" customFormat="1" ht="15" customHeight="1">
      <c r="B17" s="103" t="str">
        <f>B16&amp;"a"</f>
        <v>5a</v>
      </c>
      <c r="C17" s="93" t="s">
        <v>53</v>
      </c>
      <c r="D17" s="95"/>
      <c r="E17" s="96" t="str">
        <f aca="true" t="shared" si="7" ref="E17">IF(D$15=0,"-       ",D17/$D$15%)</f>
        <v xml:space="preserve">-       </v>
      </c>
      <c r="H17" s="97"/>
      <c r="I17" s="97"/>
      <c r="J17" s="106"/>
      <c r="K17" s="99"/>
      <c r="L17" s="97"/>
      <c r="M17" s="103" t="str">
        <f>M16&amp;"a"</f>
        <v>5a</v>
      </c>
      <c r="N17" s="377" t="str">
        <f t="shared" si="3"/>
        <v xml:space="preserve">   davon Fremdleister</v>
      </c>
      <c r="O17" s="377"/>
      <c r="P17" s="378"/>
      <c r="Q17" s="100">
        <f>IF(ISBLANK(J17),IF(ISERROR(Q15*E17%+K17),D17+K17,Q15*E17%+K17),(J17+K17))</f>
        <v>0</v>
      </c>
      <c r="R17" s="101" t="str">
        <f aca="true" t="shared" si="8" ref="R17">IF(Q$15=0,"-       ",Q17/$Q$15%)</f>
        <v xml:space="preserve">-       </v>
      </c>
      <c r="T17" s="100">
        <f t="shared" si="0"/>
        <v>0</v>
      </c>
      <c r="U17" s="102" t="str">
        <f t="shared" si="1"/>
        <v xml:space="preserve">-         </v>
      </c>
    </row>
    <row r="18" spans="2:21" s="39" customFormat="1" ht="17.25" customHeight="1">
      <c r="B18" s="217">
        <f>B16+1</f>
        <v>6</v>
      </c>
      <c r="C18" s="219" t="s">
        <v>15</v>
      </c>
      <c r="D18" s="220">
        <f>D15-D16</f>
        <v>0</v>
      </c>
      <c r="E18" s="223" t="str">
        <f t="shared" si="2"/>
        <v xml:space="preserve">-       </v>
      </c>
      <c r="H18" s="36"/>
      <c r="I18" s="36"/>
      <c r="J18" s="107"/>
      <c r="K18" s="84"/>
      <c r="L18" s="36"/>
      <c r="M18" s="217">
        <f>M16+1</f>
        <v>6</v>
      </c>
      <c r="N18" s="365" t="str">
        <f t="shared" si="3"/>
        <v>Rohertrag (DB I)</v>
      </c>
      <c r="O18" s="365"/>
      <c r="P18" s="366"/>
      <c r="Q18" s="220">
        <f>Q15-Q16</f>
        <v>0</v>
      </c>
      <c r="R18" s="226" t="str">
        <f t="shared" si="4"/>
        <v xml:space="preserve">-       </v>
      </c>
      <c r="S18" s="219"/>
      <c r="T18" s="220">
        <f t="shared" si="0"/>
        <v>0</v>
      </c>
      <c r="U18" s="221" t="str">
        <f t="shared" si="1"/>
        <v xml:space="preserve">-         </v>
      </c>
    </row>
    <row r="19" spans="2:21" s="39" customFormat="1" ht="17.25" customHeight="1">
      <c r="B19" s="82">
        <f t="shared" si="5"/>
        <v>7</v>
      </c>
      <c r="C19" s="39" t="s">
        <v>13</v>
      </c>
      <c r="D19" s="87"/>
      <c r="E19" s="88" t="str">
        <f t="shared" si="2"/>
        <v xml:space="preserve">-       </v>
      </c>
      <c r="H19" s="36"/>
      <c r="I19" s="36"/>
      <c r="J19" s="108"/>
      <c r="K19" s="89"/>
      <c r="L19" s="36"/>
      <c r="M19" s="82">
        <f t="shared" si="6"/>
        <v>7</v>
      </c>
      <c r="N19" s="379" t="str">
        <f t="shared" si="3"/>
        <v>Personalaufwand</v>
      </c>
      <c r="O19" s="379"/>
      <c r="P19" s="380"/>
      <c r="Q19" s="90">
        <f>IF(ISBLANK(J19),IF(ISERROR(Q15*E19%+K19),D19+K19,Q15*E19%+K19),(J19+K19))</f>
        <v>0</v>
      </c>
      <c r="R19" s="91" t="str">
        <f t="shared" si="4"/>
        <v xml:space="preserve">-       </v>
      </c>
      <c r="T19" s="90">
        <f t="shared" si="0"/>
        <v>0</v>
      </c>
      <c r="U19" s="92" t="str">
        <f t="shared" si="1"/>
        <v xml:space="preserve">-         </v>
      </c>
    </row>
    <row r="20" spans="2:21" s="39" customFormat="1" ht="17.25" customHeight="1">
      <c r="B20" s="217">
        <f t="shared" si="5"/>
        <v>8</v>
      </c>
      <c r="C20" s="219" t="s">
        <v>14</v>
      </c>
      <c r="D20" s="220">
        <f>D18-D19</f>
        <v>0</v>
      </c>
      <c r="E20" s="223" t="str">
        <f t="shared" si="2"/>
        <v xml:space="preserve">-       </v>
      </c>
      <c r="H20" s="36"/>
      <c r="I20" s="36"/>
      <c r="J20" s="107"/>
      <c r="K20" s="84"/>
      <c r="L20" s="36"/>
      <c r="M20" s="217">
        <f t="shared" si="6"/>
        <v>8</v>
      </c>
      <c r="N20" s="365" t="str">
        <f t="shared" si="3"/>
        <v>Deckungsbeitrag II</v>
      </c>
      <c r="O20" s="365"/>
      <c r="P20" s="366"/>
      <c r="Q20" s="220">
        <f>Q18-Q19</f>
        <v>0</v>
      </c>
      <c r="R20" s="226" t="str">
        <f t="shared" si="4"/>
        <v xml:space="preserve">-       </v>
      </c>
      <c r="S20" s="219"/>
      <c r="T20" s="220">
        <f t="shared" si="0"/>
        <v>0</v>
      </c>
      <c r="U20" s="221" t="str">
        <f t="shared" si="1"/>
        <v xml:space="preserve">-         </v>
      </c>
    </row>
    <row r="21" spans="2:21" ht="15" customHeight="1">
      <c r="B21" s="63">
        <f t="shared" si="5"/>
        <v>9</v>
      </c>
      <c r="C21" s="1" t="s">
        <v>1</v>
      </c>
      <c r="D21" s="6"/>
      <c r="E21" s="64" t="str">
        <f t="shared" si="2"/>
        <v xml:space="preserve">-       </v>
      </c>
      <c r="J21" s="105"/>
      <c r="K21" s="72"/>
      <c r="M21" s="63">
        <f t="shared" si="6"/>
        <v>9</v>
      </c>
      <c r="N21" s="367" t="str">
        <f t="shared" si="3"/>
        <v>Abschreibungen</v>
      </c>
      <c r="O21" s="367"/>
      <c r="P21" s="368"/>
      <c r="Q21" s="9">
        <f>IF(ISBLANK(J21),(D21+K21),(J21+K21))</f>
        <v>0</v>
      </c>
      <c r="R21" s="11" t="str">
        <f t="shared" si="4"/>
        <v xml:space="preserve">-       </v>
      </c>
      <c r="T21" s="9">
        <f t="shared" si="0"/>
        <v>0</v>
      </c>
      <c r="U21" s="74" t="str">
        <f t="shared" si="1"/>
        <v xml:space="preserve">-         </v>
      </c>
    </row>
    <row r="22" spans="2:21" ht="12.75">
      <c r="B22" s="63">
        <f t="shared" si="5"/>
        <v>10</v>
      </c>
      <c r="C22" s="1" t="s">
        <v>16</v>
      </c>
      <c r="D22" s="6"/>
      <c r="E22" s="64" t="str">
        <f t="shared" si="2"/>
        <v xml:space="preserve">-       </v>
      </c>
      <c r="J22" s="105"/>
      <c r="K22" s="72"/>
      <c r="M22" s="63">
        <f t="shared" si="6"/>
        <v>10</v>
      </c>
      <c r="N22" s="367" t="str">
        <f t="shared" si="3"/>
        <v>Zinsaufwand</v>
      </c>
      <c r="O22" s="367"/>
      <c r="P22" s="368"/>
      <c r="Q22" s="9">
        <f>IF(ISBLANK(J22),(D22+K22),(J22+K22))</f>
        <v>0</v>
      </c>
      <c r="R22" s="11" t="str">
        <f t="shared" si="4"/>
        <v xml:space="preserve">-       </v>
      </c>
      <c r="T22" s="9">
        <f t="shared" si="0"/>
        <v>0</v>
      </c>
      <c r="U22" s="74" t="str">
        <f t="shared" si="1"/>
        <v xml:space="preserve">-         </v>
      </c>
    </row>
    <row r="23" spans="2:21" s="93" customFormat="1" ht="15" customHeight="1">
      <c r="B23" s="94">
        <f t="shared" si="5"/>
        <v>11</v>
      </c>
      <c r="C23" s="93" t="s">
        <v>17</v>
      </c>
      <c r="D23" s="95"/>
      <c r="E23" s="96" t="str">
        <f t="shared" si="2"/>
        <v xml:space="preserve">-       </v>
      </c>
      <c r="H23" s="97"/>
      <c r="I23" s="97"/>
      <c r="J23" s="106"/>
      <c r="K23" s="99"/>
      <c r="L23" s="97"/>
      <c r="M23" s="94">
        <f t="shared" si="6"/>
        <v>11</v>
      </c>
      <c r="N23" s="377" t="str">
        <f t="shared" si="3"/>
        <v>Sonstiger Aufwand</v>
      </c>
      <c r="O23" s="377"/>
      <c r="P23" s="378"/>
      <c r="Q23" s="100">
        <f>IF(ISBLANK(J23),(D23+K23),(J23+K23))</f>
        <v>0</v>
      </c>
      <c r="R23" s="101" t="str">
        <f t="shared" si="4"/>
        <v xml:space="preserve">-       </v>
      </c>
      <c r="T23" s="100">
        <f t="shared" si="0"/>
        <v>0</v>
      </c>
      <c r="U23" s="102" t="str">
        <f t="shared" si="1"/>
        <v xml:space="preserve">-         </v>
      </c>
    </row>
    <row r="24" spans="2:21" s="39" customFormat="1" ht="17.25" customHeight="1">
      <c r="B24" s="217">
        <f t="shared" si="5"/>
        <v>12</v>
      </c>
      <c r="C24" s="219" t="s">
        <v>0</v>
      </c>
      <c r="D24" s="220">
        <f>D20-D21-D22-D23</f>
        <v>0</v>
      </c>
      <c r="E24" s="223" t="str">
        <f t="shared" si="2"/>
        <v xml:space="preserve">-       </v>
      </c>
      <c r="H24" s="36"/>
      <c r="I24" s="36"/>
      <c r="J24" s="107"/>
      <c r="K24" s="84"/>
      <c r="L24" s="36"/>
      <c r="M24" s="217">
        <f t="shared" si="6"/>
        <v>12</v>
      </c>
      <c r="N24" s="365" t="str">
        <f t="shared" si="3"/>
        <v>Betriebsergebnis</v>
      </c>
      <c r="O24" s="365"/>
      <c r="P24" s="366"/>
      <c r="Q24" s="220">
        <f>Q20-Q21-Q22-Q23</f>
        <v>0</v>
      </c>
      <c r="R24" s="226" t="str">
        <f t="shared" si="4"/>
        <v xml:space="preserve">-       </v>
      </c>
      <c r="S24" s="219"/>
      <c r="T24" s="220">
        <f t="shared" si="0"/>
        <v>0</v>
      </c>
      <c r="U24" s="221" t="str">
        <f t="shared" si="1"/>
        <v xml:space="preserve">-         </v>
      </c>
    </row>
    <row r="25" spans="2:21" ht="15" customHeight="1">
      <c r="B25" s="63">
        <f t="shared" si="5"/>
        <v>13</v>
      </c>
      <c r="C25" s="1" t="s">
        <v>52</v>
      </c>
      <c r="D25" s="6"/>
      <c r="E25" s="64" t="str">
        <f t="shared" si="2"/>
        <v xml:space="preserve">-       </v>
      </c>
      <c r="J25" s="105"/>
      <c r="K25" s="72"/>
      <c r="M25" s="63">
        <f t="shared" si="6"/>
        <v>13</v>
      </c>
      <c r="N25" s="367" t="str">
        <f t="shared" si="3"/>
        <v>Neutrales Ergebnis</v>
      </c>
      <c r="O25" s="367"/>
      <c r="P25" s="368"/>
      <c r="Q25" s="9">
        <f>IF(ISBLANK(J25),(D25+K25),(J25+K25))</f>
        <v>0</v>
      </c>
      <c r="R25" s="11" t="str">
        <f t="shared" si="4"/>
        <v xml:space="preserve">-       </v>
      </c>
      <c r="T25" s="9">
        <f t="shared" si="0"/>
        <v>0</v>
      </c>
      <c r="U25" s="74" t="str">
        <f t="shared" si="1"/>
        <v xml:space="preserve">-         </v>
      </c>
    </row>
    <row r="26" spans="2:21" s="93" customFormat="1" ht="15" customHeight="1">
      <c r="B26" s="94">
        <f t="shared" si="5"/>
        <v>14</v>
      </c>
      <c r="C26" s="93" t="s">
        <v>31</v>
      </c>
      <c r="D26" s="95"/>
      <c r="E26" s="96" t="str">
        <f t="shared" si="2"/>
        <v xml:space="preserve">-       </v>
      </c>
      <c r="H26" s="97"/>
      <c r="I26" s="97"/>
      <c r="J26" s="106"/>
      <c r="K26" s="99"/>
      <c r="L26" s="97"/>
      <c r="M26" s="94">
        <f t="shared" si="6"/>
        <v>14</v>
      </c>
      <c r="N26" s="377" t="str">
        <f t="shared" si="3"/>
        <v>EE-Steuern</v>
      </c>
      <c r="O26" s="377"/>
      <c r="P26" s="378"/>
      <c r="Q26" s="100">
        <f>IF(ISBLANK(J26),(D26+K26),(J26+K26))</f>
        <v>0</v>
      </c>
      <c r="R26" s="101" t="str">
        <f t="shared" si="4"/>
        <v xml:space="preserve">-       </v>
      </c>
      <c r="T26" s="100">
        <f t="shared" si="0"/>
        <v>0</v>
      </c>
      <c r="U26" s="102" t="str">
        <f t="shared" si="1"/>
        <v xml:space="preserve">-         </v>
      </c>
    </row>
    <row r="27" spans="2:21" s="39" customFormat="1" ht="17.25" customHeight="1">
      <c r="B27" s="217">
        <f t="shared" si="5"/>
        <v>15</v>
      </c>
      <c r="C27" s="219" t="s">
        <v>18</v>
      </c>
      <c r="D27" s="220">
        <f>D24+D25+D26</f>
        <v>0</v>
      </c>
      <c r="E27" s="223" t="str">
        <f t="shared" si="2"/>
        <v xml:space="preserve">-       </v>
      </c>
      <c r="H27" s="36"/>
      <c r="I27" s="36"/>
      <c r="J27" s="109"/>
      <c r="K27" s="86"/>
      <c r="L27" s="36"/>
      <c r="M27" s="217">
        <f t="shared" si="6"/>
        <v>15</v>
      </c>
      <c r="N27" s="365" t="str">
        <f t="shared" si="3"/>
        <v>Unternehmensergebnis</v>
      </c>
      <c r="O27" s="365"/>
      <c r="P27" s="366"/>
      <c r="Q27" s="220">
        <f>Q24+Q25+Q26</f>
        <v>0</v>
      </c>
      <c r="R27" s="226" t="str">
        <f t="shared" si="4"/>
        <v xml:space="preserve">-       </v>
      </c>
      <c r="S27" s="219"/>
      <c r="T27" s="220">
        <f t="shared" si="0"/>
        <v>0</v>
      </c>
      <c r="U27" s="221" t="str">
        <f t="shared" si="1"/>
        <v xml:space="preserve">-         </v>
      </c>
    </row>
    <row r="28" ht="5.25" customHeight="1"/>
    <row r="29" spans="2:21" ht="15" customHeight="1">
      <c r="B29" s="369" t="str">
        <f>"Bilanz "&amp;IF(ISNUMBER(M6),M6-1,"")&amp;IF(ISNUMBER(P6)," / "&amp;P6-1,"")</f>
        <v>Bilanz 2019</v>
      </c>
      <c r="C29" s="370"/>
      <c r="D29" s="370"/>
      <c r="E29" s="370"/>
      <c r="F29" s="370"/>
      <c r="G29" s="370"/>
      <c r="H29" s="371"/>
      <c r="I29" s="44"/>
      <c r="K29" s="372"/>
      <c r="L29" s="44"/>
      <c r="M29" s="369" t="str">
        <f>"Planbilanz "&amp;M6&amp;IF(ISNUMBER(P6)," / "&amp;P6,"")</f>
        <v>Planbilanz 2020</v>
      </c>
      <c r="N29" s="370"/>
      <c r="O29" s="370"/>
      <c r="P29" s="370"/>
      <c r="Q29" s="370"/>
      <c r="R29" s="370"/>
      <c r="S29" s="370"/>
      <c r="T29" s="370"/>
      <c r="U29" s="371"/>
    </row>
    <row r="30" spans="2:21" s="2" customFormat="1" ht="12" customHeight="1">
      <c r="B30" s="63"/>
      <c r="D30" s="5" t="s">
        <v>8</v>
      </c>
      <c r="E30" s="5" t="s">
        <v>34</v>
      </c>
      <c r="G30" s="5"/>
      <c r="H30" s="62" t="s">
        <v>34</v>
      </c>
      <c r="I30" s="5"/>
      <c r="J30" s="13"/>
      <c r="K30" s="372"/>
      <c r="L30" s="5"/>
      <c r="M30" s="63"/>
      <c r="N30" s="5"/>
      <c r="O30" s="5"/>
      <c r="P30" s="5"/>
      <c r="Q30" s="5" t="s">
        <v>8</v>
      </c>
      <c r="R30" s="5" t="s">
        <v>34</v>
      </c>
      <c r="T30" s="5" t="s">
        <v>8</v>
      </c>
      <c r="U30" s="62" t="s">
        <v>34</v>
      </c>
    </row>
    <row r="31" spans="2:21" ht="12.75">
      <c r="B31" s="63">
        <f>B27+1</f>
        <v>16</v>
      </c>
      <c r="C31" s="1" t="s">
        <v>19</v>
      </c>
      <c r="D31" s="6"/>
      <c r="E31" s="14" t="str">
        <f>IF($D$39&lt;&gt;0,D31/$D$39%,"       -")</f>
        <v xml:space="preserve">       -</v>
      </c>
      <c r="F31" s="1" t="s">
        <v>37</v>
      </c>
      <c r="G31" s="6"/>
      <c r="H31" s="65" t="str">
        <f>IF($G$39&lt;&gt;0,G31/$G$39%,"       -")</f>
        <v xml:space="preserve">       -</v>
      </c>
      <c r="I31" s="3"/>
      <c r="J31" s="12"/>
      <c r="K31" s="104"/>
      <c r="L31" s="3"/>
      <c r="M31" s="63">
        <f>M27+1</f>
        <v>16</v>
      </c>
      <c r="N31" s="367" t="str">
        <f>C31</f>
        <v>Anlagevermögen</v>
      </c>
      <c r="O31" s="367"/>
      <c r="P31" s="368"/>
      <c r="Q31" s="9">
        <f ca="1">Monatswerte!R35</f>
        <v>0</v>
      </c>
      <c r="R31" s="11" t="str">
        <f ca="1">IF($Q$39&lt;&gt;0,Q31/$Q$39%,"-      ")</f>
        <v xml:space="preserve">-      </v>
      </c>
      <c r="S31" s="1" t="str">
        <f>F31</f>
        <v>Wirt. Eigenkapital</v>
      </c>
      <c r="T31" s="9">
        <f ca="1">Monatswerte!R36</f>
        <v>0</v>
      </c>
      <c r="U31" s="74" t="str">
        <f ca="1">IF($T$39&lt;&gt;0,T31/$T$39%,"-        ")</f>
        <v xml:space="preserve">-        </v>
      </c>
    </row>
    <row r="32" spans="2:21" ht="12.75">
      <c r="B32" s="63">
        <f aca="true" t="shared" si="9" ref="B32:B37">B31+1</f>
        <v>17</v>
      </c>
      <c r="C32" s="1" t="s">
        <v>20</v>
      </c>
      <c r="D32" s="6"/>
      <c r="E32" s="14" t="str">
        <f>IF($D$39&lt;&gt;0,D32/$D$39%,"       -")</f>
        <v xml:space="preserve">       -</v>
      </c>
      <c r="F32" s="1" t="s">
        <v>33</v>
      </c>
      <c r="G32" s="6"/>
      <c r="H32" s="65" t="str">
        <f>IF($G$39&lt;&gt;0,G32/$G$39%,"       -")</f>
        <v xml:space="preserve">       -</v>
      </c>
      <c r="I32" s="3"/>
      <c r="J32" s="12"/>
      <c r="K32" s="9"/>
      <c r="L32" s="3"/>
      <c r="M32" s="63">
        <f aca="true" t="shared" si="10" ref="M32:M37">M31+1</f>
        <v>17</v>
      </c>
      <c r="N32" s="367" t="str">
        <f aca="true" t="shared" si="11" ref="N32:N37">C32</f>
        <v>Lager RHB</v>
      </c>
      <c r="O32" s="367"/>
      <c r="P32" s="368"/>
      <c r="Q32" s="9">
        <f>Monatswerte!R43</f>
        <v>0</v>
      </c>
      <c r="R32" s="11" t="str">
        <f aca="true" t="shared" si="12" ref="R32:R39">IF($Q$39&lt;&gt;0,Q32/$Q$39%,"-      ")</f>
        <v xml:space="preserve">-      </v>
      </c>
      <c r="S32" s="1" t="str">
        <f aca="true" t="shared" si="13" ref="S32:S35">F32</f>
        <v>langfr. Fremdkapital</v>
      </c>
      <c r="T32" s="9">
        <f ca="1">Monatswerte!R37</f>
        <v>0</v>
      </c>
      <c r="U32" s="74" t="str">
        <f ca="1">IF($T$39&lt;&gt;0,T32/$T$39%,"-        ")</f>
        <v xml:space="preserve">-        </v>
      </c>
    </row>
    <row r="33" spans="2:21" ht="12.75">
      <c r="B33" s="63">
        <f t="shared" si="9"/>
        <v>18</v>
      </c>
      <c r="C33" s="1" t="s">
        <v>51</v>
      </c>
      <c r="D33" s="6"/>
      <c r="E33" s="14" t="str">
        <f aca="true" t="shared" si="14" ref="E33:E39">IF($D$39&lt;&gt;0,D33/$D$39%,"       -")</f>
        <v xml:space="preserve">       -</v>
      </c>
      <c r="F33" s="1" t="s">
        <v>22</v>
      </c>
      <c r="G33" s="6"/>
      <c r="H33" s="65" t="str">
        <f>IF($G$39&lt;&gt;0,G33/$G$39%,"       -")</f>
        <v xml:space="preserve">       -</v>
      </c>
      <c r="I33" s="3"/>
      <c r="J33" s="12"/>
      <c r="K33" s="9"/>
      <c r="L33" s="3"/>
      <c r="M33" s="63">
        <f t="shared" si="10"/>
        <v>18</v>
      </c>
      <c r="N33" s="367" t="str">
        <f t="shared" si="11"/>
        <v>Lager UE/FE</v>
      </c>
      <c r="O33" s="367"/>
      <c r="P33" s="368"/>
      <c r="Q33" s="9">
        <f>Monatswerte!R46</f>
        <v>0</v>
      </c>
      <c r="R33" s="11" t="str">
        <f ca="1" t="shared" si="12"/>
        <v xml:space="preserve">-      </v>
      </c>
      <c r="S33" s="1" t="str">
        <f t="shared" si="13"/>
        <v>Erh. Anzahlungen</v>
      </c>
      <c r="T33" s="9">
        <f>Monatswerte!R54</f>
        <v>0</v>
      </c>
      <c r="U33" s="74" t="str">
        <f ca="1">IF($T$39&lt;&gt;0,T33/$T$39%,"-        ")</f>
        <v xml:space="preserve">-        </v>
      </c>
    </row>
    <row r="34" spans="2:21" ht="12.75">
      <c r="B34" s="63">
        <f t="shared" si="9"/>
        <v>19</v>
      </c>
      <c r="C34" s="1" t="s">
        <v>21</v>
      </c>
      <c r="D34" s="6"/>
      <c r="E34" s="14" t="str">
        <f t="shared" si="14"/>
        <v xml:space="preserve">       -</v>
      </c>
      <c r="F34" s="1" t="s">
        <v>5</v>
      </c>
      <c r="G34" s="6"/>
      <c r="H34" s="65" t="str">
        <f>IF($G$39&lt;&gt;0,G34/$G$39%,"       -")</f>
        <v xml:space="preserve">       -</v>
      </c>
      <c r="I34" s="3"/>
      <c r="J34" s="12"/>
      <c r="K34" s="9"/>
      <c r="L34" s="3"/>
      <c r="M34" s="63">
        <f t="shared" si="10"/>
        <v>19</v>
      </c>
      <c r="N34" s="367" t="str">
        <f t="shared" si="11"/>
        <v>geleistete Anzahlungen</v>
      </c>
      <c r="O34" s="367"/>
      <c r="P34" s="368"/>
      <c r="Q34" s="9">
        <f>Monatswerte!R48</f>
        <v>0</v>
      </c>
      <c r="R34" s="11" t="str">
        <f ca="1" t="shared" si="12"/>
        <v xml:space="preserve">-      </v>
      </c>
      <c r="S34" s="1" t="str">
        <f t="shared" si="13"/>
        <v>Kreditoren</v>
      </c>
      <c r="T34" s="9">
        <f>Monatswerte!R58</f>
        <v>0</v>
      </c>
      <c r="U34" s="74" t="str">
        <f ca="1">IF($T$39&lt;&gt;0,T34/$T$39%,"-        ")</f>
        <v xml:space="preserve">-        </v>
      </c>
    </row>
    <row r="35" spans="2:23" ht="12.75">
      <c r="B35" s="63">
        <f t="shared" si="9"/>
        <v>20</v>
      </c>
      <c r="C35" s="1" t="s">
        <v>2</v>
      </c>
      <c r="D35" s="6"/>
      <c r="E35" s="14" t="str">
        <f t="shared" si="14"/>
        <v xml:space="preserve">       -</v>
      </c>
      <c r="F35" s="1" t="s">
        <v>6</v>
      </c>
      <c r="G35" s="6"/>
      <c r="H35" s="65" t="str">
        <f>IF($G$39&lt;&gt;0,G35/$G$39%,"       -")</f>
        <v xml:space="preserve">       -</v>
      </c>
      <c r="I35" s="3"/>
      <c r="J35" s="12"/>
      <c r="K35" s="9"/>
      <c r="L35" s="3"/>
      <c r="M35" s="63">
        <f t="shared" si="10"/>
        <v>20</v>
      </c>
      <c r="N35" s="367" t="str">
        <f t="shared" si="11"/>
        <v>Debitoren</v>
      </c>
      <c r="O35" s="367"/>
      <c r="P35" s="368"/>
      <c r="Q35" s="9">
        <f>Monatswerte!R51</f>
        <v>0</v>
      </c>
      <c r="R35" s="11" t="str">
        <f ca="1" t="shared" si="12"/>
        <v xml:space="preserve">-      </v>
      </c>
      <c r="S35" s="1" t="str">
        <f t="shared" si="13"/>
        <v>Sonstige Passiva</v>
      </c>
      <c r="T35" s="9">
        <f ca="1">Monatswerte!R41</f>
        <v>0</v>
      </c>
      <c r="U35" s="74" t="str">
        <f ca="1">IF($T$39&lt;&gt;0,T35/$T$39%,"-        ")</f>
        <v xml:space="preserve">-        </v>
      </c>
      <c r="W35" s="381" t="str">
        <f>IF(ABS(D39-G39)&gt;0.1,"Achtung, in der Eröffnungsbilanz gehen die Bilanzsummen nicht gegeneinander auf."," ")</f>
        <v xml:space="preserve"> </v>
      </c>
    </row>
    <row r="36" spans="2:23" ht="12.75">
      <c r="B36" s="63">
        <f t="shared" si="9"/>
        <v>21</v>
      </c>
      <c r="C36" s="1" t="s">
        <v>4</v>
      </c>
      <c r="D36" s="6"/>
      <c r="E36" s="14" t="str">
        <f t="shared" si="14"/>
        <v xml:space="preserve">       -</v>
      </c>
      <c r="G36" s="12"/>
      <c r="H36" s="66"/>
      <c r="I36" s="3"/>
      <c r="J36" s="12"/>
      <c r="K36" s="9"/>
      <c r="L36" s="3"/>
      <c r="M36" s="63">
        <f t="shared" si="10"/>
        <v>21</v>
      </c>
      <c r="N36" s="367" t="str">
        <f t="shared" si="11"/>
        <v>Sonstige Aktiva</v>
      </c>
      <c r="O36" s="367"/>
      <c r="P36" s="368"/>
      <c r="Q36" s="9">
        <f ca="1">Monatswerte!R39</f>
        <v>0</v>
      </c>
      <c r="R36" s="11" t="str">
        <f ca="1" t="shared" si="12"/>
        <v xml:space="preserve">-      </v>
      </c>
      <c r="T36" s="9"/>
      <c r="U36" s="75"/>
      <c r="W36" s="382"/>
    </row>
    <row r="37" spans="2:21" ht="15">
      <c r="B37" s="63">
        <f t="shared" si="9"/>
        <v>22</v>
      </c>
      <c r="C37" s="1" t="s">
        <v>3</v>
      </c>
      <c r="D37" s="6"/>
      <c r="E37" s="14" t="str">
        <f t="shared" si="14"/>
        <v xml:space="preserve">       -</v>
      </c>
      <c r="F37" s="4" t="s">
        <v>36</v>
      </c>
      <c r="G37" s="15"/>
      <c r="H37" s="67" t="str">
        <f>IF($G$39&lt;&gt;0,G37/$G$39%,"       -")</f>
        <v xml:space="preserve">       -</v>
      </c>
      <c r="J37" s="12"/>
      <c r="K37" s="9"/>
      <c r="M37" s="63">
        <f t="shared" si="10"/>
        <v>22</v>
      </c>
      <c r="N37" s="367" t="str">
        <f t="shared" si="11"/>
        <v>Flüssige Mittel</v>
      </c>
      <c r="O37" s="367"/>
      <c r="P37" s="368"/>
      <c r="Q37" s="9">
        <f ca="1">Monatswerte!R40</f>
        <v>0</v>
      </c>
      <c r="R37" s="11" t="str">
        <f ca="1" t="shared" si="12"/>
        <v xml:space="preserve">-      </v>
      </c>
      <c r="S37" s="4" t="s">
        <v>47</v>
      </c>
      <c r="T37" s="16">
        <f ca="1">Monatswerte!R73</f>
        <v>0</v>
      </c>
      <c r="U37" s="74" t="str">
        <f ca="1">IF($T$39&lt;&gt;0,T37/$T$39%,"-        ")</f>
        <v xml:space="preserve">-        </v>
      </c>
    </row>
    <row r="38" spans="2:23" ht="12.75">
      <c r="B38" s="63"/>
      <c r="D38" s="9"/>
      <c r="E38" s="2"/>
      <c r="G38" s="9"/>
      <c r="H38" s="68"/>
      <c r="J38" s="12"/>
      <c r="K38" s="12"/>
      <c r="M38" s="63"/>
      <c r="Q38" s="9"/>
      <c r="R38" s="17"/>
      <c r="T38" s="9"/>
      <c r="U38" s="76"/>
      <c r="W38" s="381" t="str">
        <f ca="1">IF(ABS(Q39-T39)&gt;0.1,"Achtung, in der Planbilanz gehen die Bilanzsummen nicht gegeneinander auf."," ")</f>
        <v xml:space="preserve"> </v>
      </c>
    </row>
    <row r="39" spans="2:23" s="39" customFormat="1" ht="17.25" customHeight="1">
      <c r="B39" s="217"/>
      <c r="C39" s="219" t="s">
        <v>23</v>
      </c>
      <c r="D39" s="220">
        <f>D31+D32+D33+D34+D35+D36+D37</f>
        <v>0</v>
      </c>
      <c r="E39" s="224" t="str">
        <f t="shared" si="14"/>
        <v xml:space="preserve">       -</v>
      </c>
      <c r="F39" s="219" t="s">
        <v>23</v>
      </c>
      <c r="G39" s="220">
        <f>G31+G32+G33+G34+G35+G37</f>
        <v>0</v>
      </c>
      <c r="H39" s="225" t="str">
        <f>IF($G$39&lt;&gt;0,G39/$G$39%,"       -")</f>
        <v xml:space="preserve">       -</v>
      </c>
      <c r="I39" s="38"/>
      <c r="J39" s="83"/>
      <c r="K39" s="83"/>
      <c r="L39" s="38"/>
      <c r="M39" s="217"/>
      <c r="N39" s="365" t="s">
        <v>23</v>
      </c>
      <c r="O39" s="365"/>
      <c r="P39" s="366"/>
      <c r="Q39" s="220">
        <f ca="1">SUM(Q31:Q37)</f>
        <v>0</v>
      </c>
      <c r="R39" s="226" t="str">
        <f ca="1" t="shared" si="12"/>
        <v xml:space="preserve">-      </v>
      </c>
      <c r="S39" s="219" t="s">
        <v>23</v>
      </c>
      <c r="T39" s="220">
        <f ca="1">SUM(T31:T37)</f>
        <v>0</v>
      </c>
      <c r="U39" s="221" t="str">
        <f ca="1">IF($T$39&lt;&gt;0,T39/$T$39%,"-        ")</f>
        <v xml:space="preserve">-        </v>
      </c>
      <c r="W39" s="382"/>
    </row>
    <row r="40" spans="5:20" ht="6" customHeight="1">
      <c r="E40" s="2"/>
      <c r="J40" s="12"/>
      <c r="K40" s="12"/>
      <c r="T40" s="18"/>
    </row>
    <row r="41" spans="2:21" ht="15" customHeight="1">
      <c r="B41" s="59"/>
      <c r="C41" s="69" t="s">
        <v>24</v>
      </c>
      <c r="D41" s="60"/>
      <c r="E41" s="70"/>
      <c r="F41" s="60"/>
      <c r="G41" s="60"/>
      <c r="H41" s="71"/>
      <c r="J41" s="12"/>
      <c r="K41" s="12"/>
      <c r="M41" s="59"/>
      <c r="N41" s="69" t="str">
        <f>C41</f>
        <v>Bilanzkennzahlen</v>
      </c>
      <c r="O41" s="149"/>
      <c r="P41" s="69"/>
      <c r="Q41" s="60"/>
      <c r="R41" s="70"/>
      <c r="S41" s="60"/>
      <c r="T41" s="60"/>
      <c r="U41" s="77"/>
    </row>
    <row r="42" spans="2:21" ht="15" customHeight="1">
      <c r="B42" s="63">
        <f>B37+1</f>
        <v>23</v>
      </c>
      <c r="C42" s="1" t="s">
        <v>25</v>
      </c>
      <c r="D42" s="19">
        <f>IF(ISERROR((G31+G32)/D31%),0,(G31+G32)/D31%)</f>
        <v>0</v>
      </c>
      <c r="F42" s="1" t="s">
        <v>50</v>
      </c>
      <c r="G42" s="19">
        <f>IF(ISERROR(G33/D33%),0,G33/D33%)</f>
        <v>0</v>
      </c>
      <c r="H42" s="68"/>
      <c r="J42" s="12"/>
      <c r="K42" s="12"/>
      <c r="M42" s="63">
        <f>M37+1</f>
        <v>23</v>
      </c>
      <c r="N42" s="1" t="str">
        <f>C42</f>
        <v>Anlagendeckung II</v>
      </c>
      <c r="O42" s="1"/>
      <c r="Q42" s="19">
        <f ca="1">IF(ISERROR((T31+T32)/Q31%),0,(T31+T32)/Q31%)</f>
        <v>0</v>
      </c>
      <c r="R42" s="150"/>
      <c r="S42" s="1" t="str">
        <f>F42</f>
        <v>AZ.-Unterlegung UE/FE</v>
      </c>
      <c r="T42" s="19">
        <f>IF(ISERROR(T33/Q33%),0,T33/Q33%)</f>
        <v>0</v>
      </c>
      <c r="U42" s="78"/>
    </row>
    <row r="43" spans="2:21" ht="12.75">
      <c r="B43" s="63">
        <f>B42+1</f>
        <v>24</v>
      </c>
      <c r="C43" s="1" t="s">
        <v>26</v>
      </c>
      <c r="D43" s="19">
        <f>IF(ISERROR(D32/(D16-D17)*G12*30),0,D32/(D16-D17)*G12*30)</f>
        <v>0</v>
      </c>
      <c r="F43" s="1" t="s">
        <v>29</v>
      </c>
      <c r="G43" s="19">
        <f>IF(ISERROR(D44*(100-G42)%),0,D44*(100-G42)%)</f>
        <v>0</v>
      </c>
      <c r="H43" s="68"/>
      <c r="J43" s="12"/>
      <c r="K43" s="12"/>
      <c r="M43" s="63">
        <f>M42+1</f>
        <v>24</v>
      </c>
      <c r="N43" s="121" t="str">
        <f>C43</f>
        <v>Lagerdauer RHB</v>
      </c>
      <c r="O43" s="30"/>
      <c r="Q43" s="19">
        <f>IF(ISERROR(Q32/(Q16-Q17)*Monatswerte!M2*30),0,Q32/(Q16-Q17)*Monatswerte!M2*30)</f>
        <v>0</v>
      </c>
      <c r="R43" s="150"/>
      <c r="S43" s="1" t="str">
        <f aca="true" t="shared" si="15" ref="S43:S44">F43</f>
        <v>Vorleistungsdauer</v>
      </c>
      <c r="T43" s="19">
        <f>IF(ISERROR(Q44*(100-T42)%),0,Q44*(100-T42)%)</f>
        <v>0</v>
      </c>
      <c r="U43" s="78"/>
    </row>
    <row r="44" spans="2:21" ht="12.75">
      <c r="B44" s="63">
        <f>B43+1</f>
        <v>25</v>
      </c>
      <c r="C44" s="1" t="s">
        <v>27</v>
      </c>
      <c r="D44" s="19">
        <f>IF(ISERROR(D33/D15*G12*30),0,D33/D15*G12*30)</f>
        <v>0</v>
      </c>
      <c r="F44" s="1" t="s">
        <v>30</v>
      </c>
      <c r="G44" s="19">
        <f>IF(ISERROR(G34/(D16)*G12*30),0,G34/(D16)*G12*30)</f>
        <v>0</v>
      </c>
      <c r="H44" s="68"/>
      <c r="J44" s="12"/>
      <c r="K44" s="9"/>
      <c r="M44" s="63">
        <f>M43+1</f>
        <v>25</v>
      </c>
      <c r="N44" s="121" t="str">
        <f aca="true" t="shared" si="16" ref="N44:N45">C44</f>
        <v>Lagerdauer UFE/FE</v>
      </c>
      <c r="O44" s="30"/>
      <c r="Q44" s="20">
        <f>IF(ISERROR(Q33/Q15*Monatswerte!M2*30),0,Q33/Q15*Monatswerte!M2*30)</f>
        <v>0</v>
      </c>
      <c r="R44" s="150"/>
      <c r="S44" s="1" t="str">
        <f t="shared" si="15"/>
        <v>Kreditorenlaufzeit</v>
      </c>
      <c r="T44" s="19">
        <f>IF(ISERROR(T34/(Q16+(Q32-D32))*Monatswerte!M2*30),0,T34/(Q16+(Q32-D32))*Monatswerte!M2*30)</f>
        <v>0</v>
      </c>
      <c r="U44" s="78"/>
    </row>
    <row r="45" spans="2:21" ht="12.75">
      <c r="B45" s="63">
        <f>B44+1</f>
        <v>26</v>
      </c>
      <c r="C45" s="1" t="s">
        <v>28</v>
      </c>
      <c r="D45" s="19">
        <f>IF(ISERROR(D35/D12*G12*30),0,D35/D12*G12*30)</f>
        <v>0</v>
      </c>
      <c r="G45" s="21"/>
      <c r="H45" s="68"/>
      <c r="M45" s="63">
        <f>M44+1</f>
        <v>26</v>
      </c>
      <c r="N45" s="121" t="str">
        <f t="shared" si="16"/>
        <v>Debitorenlaufzeit</v>
      </c>
      <c r="O45" s="30"/>
      <c r="Q45" s="20">
        <f>IF(ISERROR(Q35/Q12*Monatswerte!M2*30),0,Q35/Q12*Monatswerte!M2*30)</f>
        <v>0</v>
      </c>
      <c r="R45" s="150"/>
      <c r="T45" s="22"/>
      <c r="U45" s="78"/>
    </row>
    <row r="46" spans="2:21" s="93" customFormat="1" ht="15" customHeight="1">
      <c r="B46" s="182">
        <f>B45+1</f>
        <v>27</v>
      </c>
      <c r="C46" s="183" t="s">
        <v>46</v>
      </c>
      <c r="D46" s="184">
        <f>IF(ISERROR(D34/D16*G12*30),0,D34/D16*G12*30)</f>
        <v>0</v>
      </c>
      <c r="E46" s="185"/>
      <c r="F46" s="183"/>
      <c r="G46" s="184"/>
      <c r="H46" s="186"/>
      <c r="I46" s="97"/>
      <c r="L46" s="97"/>
      <c r="M46" s="182">
        <f>M45+1</f>
        <v>27</v>
      </c>
      <c r="N46" s="187" t="str">
        <f>C46</f>
        <v>Anzahlungsdauer (gel.)</v>
      </c>
      <c r="O46" s="188"/>
      <c r="P46" s="183"/>
      <c r="Q46" s="189">
        <f>IF(ISERROR(Q34/Q16*Monatswerte!M2*30),0,Q34/Q16*Monatswerte!M2*30)</f>
        <v>0</v>
      </c>
      <c r="R46" s="190"/>
      <c r="S46" s="183"/>
      <c r="T46" s="183"/>
      <c r="U46" s="191"/>
    </row>
    <row r="47" ht="5.25" customHeight="1"/>
  </sheetData>
  <sheetProtection password="DD7A" sheet="1" objects="1" scenarios="1"/>
  <mergeCells count="42">
    <mergeCell ref="W35:W36"/>
    <mergeCell ref="W38:W39"/>
    <mergeCell ref="B9:E9"/>
    <mergeCell ref="N17:P17"/>
    <mergeCell ref="J4:K4"/>
    <mergeCell ref="J5:K5"/>
    <mergeCell ref="J6:K6"/>
    <mergeCell ref="M4:T4"/>
    <mergeCell ref="M5:T5"/>
    <mergeCell ref="M6:O6"/>
    <mergeCell ref="B10:E10"/>
    <mergeCell ref="M10:R10"/>
    <mergeCell ref="N12:P12"/>
    <mergeCell ref="N13:P13"/>
    <mergeCell ref="N14:P14"/>
    <mergeCell ref="J9:J10"/>
    <mergeCell ref="N19:P19"/>
    <mergeCell ref="N20:P20"/>
    <mergeCell ref="N21:P21"/>
    <mergeCell ref="N15:P15"/>
    <mergeCell ref="N16:P16"/>
    <mergeCell ref="N26:P26"/>
    <mergeCell ref="N27:P27"/>
    <mergeCell ref="N22:P22"/>
    <mergeCell ref="N23:P23"/>
    <mergeCell ref="N24:P24"/>
    <mergeCell ref="C4:D5"/>
    <mergeCell ref="N18:P18"/>
    <mergeCell ref="N37:P37"/>
    <mergeCell ref="N39:P39"/>
    <mergeCell ref="B29:H29"/>
    <mergeCell ref="K29:K30"/>
    <mergeCell ref="M29:U29"/>
    <mergeCell ref="N31:P31"/>
    <mergeCell ref="N32:P32"/>
    <mergeCell ref="N33:P33"/>
    <mergeCell ref="K9:K10"/>
    <mergeCell ref="T9:U10"/>
    <mergeCell ref="N34:P34"/>
    <mergeCell ref="N35:P35"/>
    <mergeCell ref="N36:P36"/>
    <mergeCell ref="N25:P25"/>
  </mergeCells>
  <conditionalFormatting sqref="B15:E15 B18:E18 B20:E20 B24:E24 B27:E27 B39:H39 M15:U15 M18:U18 M20:U20 M24:U24 M27:U27 M39:U39 B3:U3 B7:U7 B4:B5 B6:C6 E4:U6">
    <cfRule type="expression" priority="8" dxfId="1" stopIfTrue="1">
      <formula>$D$1="grau"</formula>
    </cfRule>
  </conditionalFormatting>
  <conditionalFormatting sqref="A12:E12 A1:XFD3 A13:F13 H13:XFD13 G12:XFD12 A40:XFD1048576 A14:XFD34 A35:V36 X35:XFD36 A37:XFD37 A38:V39 X38:XFD39 W35 A7:XFD11 A4:B5 A6:C6 E4:XFD6">
    <cfRule type="expression" priority="7" dxfId="0" stopIfTrue="1">
      <formula>AND($H$1="ja",CELL("schutz",A1)=0)</formula>
    </cfRule>
  </conditionalFormatting>
  <conditionalFormatting sqref="W38">
    <cfRule type="expression" priority="5" dxfId="0" stopIfTrue="1">
      <formula>AND($H$1="ja",CELL("schutz",W38)=0)</formula>
    </cfRule>
  </conditionalFormatting>
  <conditionalFormatting sqref="C4">
    <cfRule type="expression" priority="3" dxfId="1" stopIfTrue="1">
      <formula>$E$1="grau"</formula>
    </cfRule>
  </conditionalFormatting>
  <conditionalFormatting sqref="C4">
    <cfRule type="expression" priority="4" dxfId="0" stopIfTrue="1">
      <formula>AND($M$1="ja",CELL("schutz",C4)=0)</formula>
    </cfRule>
  </conditionalFormatting>
  <conditionalFormatting sqref="D6">
    <cfRule type="expression" priority="2" dxfId="1" stopIfTrue="1">
      <formula>$D$1="grau"</formula>
    </cfRule>
  </conditionalFormatting>
  <conditionalFormatting sqref="D6">
    <cfRule type="expression" priority="1" dxfId="0" stopIfTrue="1">
      <formula>AND($H$1="ja",CELL("schutz",D6)=0)</formula>
    </cfRule>
  </conditionalFormatting>
  <dataValidations count="4">
    <dataValidation type="list" allowBlank="1" showInputMessage="1" showErrorMessage="1" sqref="D1">
      <formula1>"blau,grau"</formula1>
    </dataValidation>
    <dataValidation type="list" allowBlank="1" showInputMessage="1" showErrorMessage="1" sqref="G2 H1">
      <formula1>"Ja,Nein"</formula1>
    </dataValidation>
    <dataValidation type="list" allowBlank="1" showInputMessage="1" showErrorMessage="1" sqref="D2">
      <formula1>"grau,blau"</formula1>
    </dataValidation>
    <dataValidation type="list" allowBlank="1" showInputMessage="1" showErrorMessage="1" error="Bitte wählen Sie eine gültige Jahreslänge." sqref="G12">
      <formula1>Monatswerte!$W$1:$W$12</formula1>
    </dataValidation>
  </dataValidation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9" scale="85" r:id="rId5"/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76"/>
  <sheetViews>
    <sheetView showGridLines="0" showRowColHeaders="0" zoomScalePageLayoutView="55" workbookViewId="0" topLeftCell="A3">
      <selection activeCell="Y16" sqref="Y16"/>
    </sheetView>
  </sheetViews>
  <sheetFormatPr defaultColWidth="11.421875" defaultRowHeight="12.75" customHeight="1"/>
  <cols>
    <col min="1" max="1" width="0.85546875" style="1" customWidth="1"/>
    <col min="2" max="2" width="2.7109375" style="2" customWidth="1"/>
    <col min="3" max="3" width="2.7109375" style="1" customWidth="1"/>
    <col min="4" max="4" width="19.7109375" style="1" customWidth="1"/>
    <col min="5" max="6" width="6.7109375" style="1" customWidth="1"/>
    <col min="7" max="7" width="6.7109375" style="3" customWidth="1"/>
    <col min="8" max="9" width="6.7109375" style="1" customWidth="1"/>
    <col min="10" max="11" width="6.7109375" style="2" customWidth="1"/>
    <col min="12" max="13" width="6.7109375" style="1" customWidth="1"/>
    <col min="14" max="16" width="6.7109375" style="2" customWidth="1"/>
    <col min="17" max="18" width="6.7109375" style="1" customWidth="1"/>
    <col min="19" max="19" width="5.7109375" style="2" customWidth="1"/>
    <col min="20" max="20" width="0.85546875" style="1" customWidth="1"/>
    <col min="21" max="21" width="11.421875" style="1" hidden="1" customWidth="1"/>
    <col min="22" max="22" width="11.421875" style="121" hidden="1" customWidth="1"/>
    <col min="23" max="23" width="11.421875" style="43" hidden="1" customWidth="1"/>
    <col min="24" max="24" width="11.421875" style="1" hidden="1" customWidth="1"/>
    <col min="25" max="16384" width="11.421875" style="1" customWidth="1"/>
  </cols>
  <sheetData>
    <row r="1" spans="4:24" s="39" customFormat="1" ht="15" customHeight="1">
      <c r="D1" s="37"/>
      <c r="E1" s="37" t="s">
        <v>48</v>
      </c>
      <c r="F1" s="401" t="s">
        <v>49</v>
      </c>
      <c r="G1" s="402"/>
      <c r="L1" s="37" t="s">
        <v>38</v>
      </c>
      <c r="M1" s="42" t="s">
        <v>39</v>
      </c>
      <c r="V1" s="120" t="s">
        <v>56</v>
      </c>
      <c r="W1" s="116">
        <v>1</v>
      </c>
      <c r="X1" s="39">
        <f>VLOOKUP(F2,V1:W12,2,FALSE)</f>
        <v>1</v>
      </c>
    </row>
    <row r="2" spans="4:24" s="39" customFormat="1" ht="15" customHeight="1">
      <c r="D2" s="37"/>
      <c r="E2" s="37" t="s">
        <v>55</v>
      </c>
      <c r="F2" s="401" t="s">
        <v>56</v>
      </c>
      <c r="G2" s="402"/>
      <c r="L2" s="37" t="s">
        <v>69</v>
      </c>
      <c r="M2" s="42">
        <v>12</v>
      </c>
      <c r="V2" s="120" t="s">
        <v>57</v>
      </c>
      <c r="W2" s="116">
        <v>2</v>
      </c>
      <c r="X2" s="39">
        <f>Jahreswerte!M6</f>
        <v>2020</v>
      </c>
    </row>
    <row r="3" spans="3:23" ht="5.25" customHeight="1">
      <c r="C3" s="7"/>
      <c r="D3" s="7"/>
      <c r="E3" s="30"/>
      <c r="F3" s="30"/>
      <c r="H3" s="7"/>
      <c r="I3" s="30"/>
      <c r="V3" s="120" t="s">
        <v>58</v>
      </c>
      <c r="W3" s="123">
        <v>3</v>
      </c>
    </row>
    <row r="4" spans="2:23" ht="6" customHeight="1">
      <c r="B4" s="45"/>
      <c r="C4" s="46"/>
      <c r="D4" s="46"/>
      <c r="E4" s="47"/>
      <c r="F4" s="47"/>
      <c r="G4" s="48"/>
      <c r="H4" s="46"/>
      <c r="I4" s="47"/>
      <c r="J4" s="49"/>
      <c r="K4" s="49"/>
      <c r="L4" s="50"/>
      <c r="M4" s="50"/>
      <c r="N4" s="49"/>
      <c r="O4" s="49"/>
      <c r="P4" s="49"/>
      <c r="Q4" s="50"/>
      <c r="R4" s="50"/>
      <c r="S4" s="251"/>
      <c r="V4" s="120" t="s">
        <v>59</v>
      </c>
      <c r="W4" s="123">
        <v>4</v>
      </c>
    </row>
    <row r="5" spans="2:23" ht="18" customHeight="1">
      <c r="B5" s="52"/>
      <c r="C5" s="23"/>
      <c r="D5" s="364" t="s">
        <v>204</v>
      </c>
      <c r="E5" s="364"/>
      <c r="F5" s="35" t="s">
        <v>202</v>
      </c>
      <c r="G5" s="24"/>
      <c r="H5" s="23"/>
      <c r="I5" s="25"/>
      <c r="J5" s="26"/>
      <c r="K5" s="26"/>
      <c r="L5" s="114"/>
      <c r="M5" s="385">
        <f>Jahreswerte!M4</f>
        <v>0</v>
      </c>
      <c r="N5" s="400"/>
      <c r="O5" s="400"/>
      <c r="P5" s="400"/>
      <c r="Q5" s="400"/>
      <c r="R5" s="400"/>
      <c r="S5" s="252"/>
      <c r="V5" s="120" t="s">
        <v>60</v>
      </c>
      <c r="W5" s="123">
        <v>5</v>
      </c>
    </row>
    <row r="6" spans="2:23" ht="12.75" customHeight="1">
      <c r="B6" s="52"/>
      <c r="C6" s="23"/>
      <c r="D6" s="364"/>
      <c r="E6" s="364"/>
      <c r="F6" s="255">
        <f>Jahreswerte!D5</f>
        <v>0</v>
      </c>
      <c r="G6" s="24"/>
      <c r="H6" s="23"/>
      <c r="I6" s="25"/>
      <c r="J6" s="26"/>
      <c r="K6" s="26"/>
      <c r="L6" s="114"/>
      <c r="M6" s="385">
        <f>Jahreswerte!M5</f>
        <v>0</v>
      </c>
      <c r="N6" s="400"/>
      <c r="O6" s="400"/>
      <c r="P6" s="400"/>
      <c r="Q6" s="400"/>
      <c r="R6" s="400"/>
      <c r="S6" s="252"/>
      <c r="V6" s="120" t="s">
        <v>61</v>
      </c>
      <c r="W6" s="123">
        <v>6</v>
      </c>
    </row>
    <row r="7" spans="2:23" ht="15">
      <c r="B7" s="52"/>
      <c r="C7" s="23"/>
      <c r="D7" s="23"/>
      <c r="E7" s="28"/>
      <c r="F7" s="256" t="str">
        <f>Jahreswerte!F6</f>
        <v>Version 2020.02 - www.rdg-gmbh.de</v>
      </c>
      <c r="G7" s="24"/>
      <c r="H7" s="23"/>
      <c r="I7" s="25"/>
      <c r="J7" s="26"/>
      <c r="K7" s="26"/>
      <c r="L7" s="114"/>
      <c r="M7" s="114"/>
      <c r="N7" s="114"/>
      <c r="O7" s="114"/>
      <c r="P7" s="114"/>
      <c r="Q7" s="202">
        <f>Jahreswerte!M6</f>
        <v>2020</v>
      </c>
      <c r="R7" s="202" t="str">
        <f>IF(ISNUMBER(Jahreswerte!P6)," / "&amp;Jahreswerte!P6,"")</f>
        <v/>
      </c>
      <c r="S7" s="252"/>
      <c r="V7" s="120" t="s">
        <v>62</v>
      </c>
      <c r="W7" s="123">
        <v>7</v>
      </c>
    </row>
    <row r="8" spans="2:23" ht="6" customHeight="1">
      <c r="B8" s="54"/>
      <c r="C8" s="55"/>
      <c r="D8" s="55"/>
      <c r="E8" s="55"/>
      <c r="F8" s="55"/>
      <c r="G8" s="56"/>
      <c r="H8" s="55"/>
      <c r="I8" s="55"/>
      <c r="J8" s="57"/>
      <c r="K8" s="57"/>
      <c r="L8" s="55"/>
      <c r="M8" s="55"/>
      <c r="N8" s="57"/>
      <c r="O8" s="57"/>
      <c r="P8" s="57"/>
      <c r="Q8" s="55"/>
      <c r="R8" s="55"/>
      <c r="S8" s="253"/>
      <c r="V8" s="120" t="s">
        <v>63</v>
      </c>
      <c r="W8" s="123">
        <v>8</v>
      </c>
    </row>
    <row r="9" spans="2:23" ht="6" customHeight="1">
      <c r="B9" s="31"/>
      <c r="C9" s="32"/>
      <c r="D9" s="32"/>
      <c r="E9" s="32"/>
      <c r="F9" s="32"/>
      <c r="G9" s="33"/>
      <c r="H9" s="32"/>
      <c r="I9" s="32"/>
      <c r="J9" s="31"/>
      <c r="K9" s="31"/>
      <c r="L9" s="32"/>
      <c r="M9" s="32"/>
      <c r="N9" s="31"/>
      <c r="O9" s="31"/>
      <c r="P9" s="31"/>
      <c r="Q9" s="32"/>
      <c r="R9" s="32"/>
      <c r="S9" s="31"/>
      <c r="V9" s="120" t="s">
        <v>64</v>
      </c>
      <c r="W9" s="123">
        <v>9</v>
      </c>
    </row>
    <row r="10" spans="2:23" ht="12.75" customHeight="1" hidden="1">
      <c r="B10" s="31"/>
      <c r="C10" s="32"/>
      <c r="D10" s="32"/>
      <c r="E10" s="32"/>
      <c r="F10" s="118">
        <v>1</v>
      </c>
      <c r="G10" s="119">
        <f>F10+1</f>
        <v>2</v>
      </c>
      <c r="H10" s="119">
        <f aca="true" t="shared" si="0" ref="H10:Q10">G10+1</f>
        <v>3</v>
      </c>
      <c r="I10" s="119">
        <f t="shared" si="0"/>
        <v>4</v>
      </c>
      <c r="J10" s="119">
        <f t="shared" si="0"/>
        <v>5</v>
      </c>
      <c r="K10" s="119">
        <f t="shared" si="0"/>
        <v>6</v>
      </c>
      <c r="L10" s="119">
        <f t="shared" si="0"/>
        <v>7</v>
      </c>
      <c r="M10" s="119">
        <f t="shared" si="0"/>
        <v>8</v>
      </c>
      <c r="N10" s="119">
        <f t="shared" si="0"/>
        <v>9</v>
      </c>
      <c r="O10" s="119">
        <f t="shared" si="0"/>
        <v>10</v>
      </c>
      <c r="P10" s="119">
        <f t="shared" si="0"/>
        <v>11</v>
      </c>
      <c r="Q10" s="119">
        <f t="shared" si="0"/>
        <v>12</v>
      </c>
      <c r="R10" s="118"/>
      <c r="S10" s="31"/>
      <c r="V10" s="120" t="s">
        <v>65</v>
      </c>
      <c r="W10" s="116">
        <v>10</v>
      </c>
    </row>
    <row r="11" spans="2:23" ht="12.75" customHeight="1" hidden="1">
      <c r="B11" s="31"/>
      <c r="C11" s="32"/>
      <c r="D11" s="32"/>
      <c r="E11" s="118">
        <f>IF(F11=1,12,F11-1)</f>
        <v>12</v>
      </c>
      <c r="F11" s="118">
        <f>X1</f>
        <v>1</v>
      </c>
      <c r="G11" s="119">
        <f>IF(F11=12,1,F11+1)</f>
        <v>2</v>
      </c>
      <c r="H11" s="119">
        <f aca="true" t="shared" si="1" ref="H11:P11">IF(G11=12,1,G11+1)</f>
        <v>3</v>
      </c>
      <c r="I11" s="119">
        <f t="shared" si="1"/>
        <v>4</v>
      </c>
      <c r="J11" s="119">
        <f t="shared" si="1"/>
        <v>5</v>
      </c>
      <c r="K11" s="119">
        <f t="shared" si="1"/>
        <v>6</v>
      </c>
      <c r="L11" s="119">
        <f t="shared" si="1"/>
        <v>7</v>
      </c>
      <c r="M11" s="119">
        <f t="shared" si="1"/>
        <v>8</v>
      </c>
      <c r="N11" s="119">
        <f t="shared" si="1"/>
        <v>9</v>
      </c>
      <c r="O11" s="119">
        <f t="shared" si="1"/>
        <v>10</v>
      </c>
      <c r="P11" s="119">
        <f t="shared" si="1"/>
        <v>11</v>
      </c>
      <c r="Q11" s="119">
        <f>IF(P11=12,1,P11+1)</f>
        <v>12</v>
      </c>
      <c r="R11" s="32"/>
      <c r="S11" s="31"/>
      <c r="V11" s="120" t="s">
        <v>66</v>
      </c>
      <c r="W11" s="39">
        <v>11</v>
      </c>
    </row>
    <row r="12" spans="2:23" s="39" customFormat="1" ht="20.1" customHeight="1">
      <c r="B12" s="396" t="str">
        <f>"Monatsertragsplanung "&amp;IF(ISNUMBER(Jahreswerte!M6),Jahreswerte!M6,"")&amp;IF(ISNUMBER(Jahreswerte!P6)," / "&amp;Jahreswerte!P6,"")</f>
        <v>Monatsertragsplanung 2020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4"/>
      <c r="V12" s="121" t="s">
        <v>67</v>
      </c>
      <c r="W12" s="123">
        <v>12</v>
      </c>
    </row>
    <row r="13" spans="2:19" s="5" customFormat="1" ht="12.75" customHeight="1">
      <c r="B13" s="61"/>
      <c r="E13" s="117"/>
      <c r="F13" s="153">
        <f>DATE($X$2,F11,1)</f>
        <v>43831</v>
      </c>
      <c r="G13" s="154">
        <f aca="true" t="shared" si="2" ref="G13:Q13">DATE(IF(G11&lt;$F$11,$X$2+1,$X$2),G11,1)</f>
        <v>43862</v>
      </c>
      <c r="H13" s="154">
        <f t="shared" si="2"/>
        <v>43891</v>
      </c>
      <c r="I13" s="154">
        <f t="shared" si="2"/>
        <v>43922</v>
      </c>
      <c r="J13" s="154">
        <f t="shared" si="2"/>
        <v>43952</v>
      </c>
      <c r="K13" s="154">
        <f t="shared" si="2"/>
        <v>43983</v>
      </c>
      <c r="L13" s="154">
        <f t="shared" si="2"/>
        <v>44013</v>
      </c>
      <c r="M13" s="154">
        <f t="shared" si="2"/>
        <v>44044</v>
      </c>
      <c r="N13" s="154">
        <f t="shared" si="2"/>
        <v>44075</v>
      </c>
      <c r="O13" s="154">
        <f t="shared" si="2"/>
        <v>44105</v>
      </c>
      <c r="P13" s="154">
        <f t="shared" si="2"/>
        <v>44136</v>
      </c>
      <c r="Q13" s="155">
        <f t="shared" si="2"/>
        <v>44166</v>
      </c>
      <c r="R13" s="392" t="s">
        <v>70</v>
      </c>
      <c r="S13" s="407"/>
    </row>
    <row r="14" spans="2:23" s="192" customFormat="1" ht="12.75" customHeight="1">
      <c r="B14" s="194"/>
      <c r="C14" s="195"/>
      <c r="D14" s="195"/>
      <c r="E14" s="196"/>
      <c r="F14" s="197" t="s">
        <v>8</v>
      </c>
      <c r="G14" s="196" t="str">
        <f>F14</f>
        <v>T€</v>
      </c>
      <c r="H14" s="196" t="str">
        <f aca="true" t="shared" si="3" ref="H14:Q14">G14</f>
        <v>T€</v>
      </c>
      <c r="I14" s="196" t="str">
        <f t="shared" si="3"/>
        <v>T€</v>
      </c>
      <c r="J14" s="196" t="str">
        <f t="shared" si="3"/>
        <v>T€</v>
      </c>
      <c r="K14" s="196" t="str">
        <f t="shared" si="3"/>
        <v>T€</v>
      </c>
      <c r="L14" s="196" t="str">
        <f t="shared" si="3"/>
        <v>T€</v>
      </c>
      <c r="M14" s="196" t="str">
        <f t="shared" si="3"/>
        <v>T€</v>
      </c>
      <c r="N14" s="196" t="str">
        <f t="shared" si="3"/>
        <v>T€</v>
      </c>
      <c r="O14" s="196" t="str">
        <f t="shared" si="3"/>
        <v>T€</v>
      </c>
      <c r="P14" s="196" t="str">
        <f t="shared" si="3"/>
        <v>T€</v>
      </c>
      <c r="Q14" s="198" t="str">
        <f t="shared" si="3"/>
        <v>T€</v>
      </c>
      <c r="R14" s="199" t="s">
        <v>8</v>
      </c>
      <c r="S14" s="200" t="s">
        <v>34</v>
      </c>
      <c r="V14" s="122"/>
      <c r="W14" s="193"/>
    </row>
    <row r="15" spans="2:19" ht="15" customHeight="1">
      <c r="B15" s="63">
        <v>1</v>
      </c>
      <c r="C15" s="1" t="str">
        <f>Jahreswerte!C12</f>
        <v>Umsatz</v>
      </c>
      <c r="E15" s="127"/>
      <c r="F15" s="105">
        <f>Jahreswerte!$Q12/12</f>
        <v>0</v>
      </c>
      <c r="G15" s="6">
        <f>Jahreswerte!$Q12/12</f>
        <v>0</v>
      </c>
      <c r="H15" s="6">
        <f>Jahreswerte!$Q12/12</f>
        <v>0</v>
      </c>
      <c r="I15" s="6">
        <f>Jahreswerte!$Q12/12</f>
        <v>0</v>
      </c>
      <c r="J15" s="6">
        <f>Jahreswerte!$Q12/12</f>
        <v>0</v>
      </c>
      <c r="K15" s="6">
        <f>Jahreswerte!$Q12/12</f>
        <v>0</v>
      </c>
      <c r="L15" s="6">
        <f>Jahreswerte!$Q12/12</f>
        <v>0</v>
      </c>
      <c r="M15" s="6">
        <f>Jahreswerte!$Q12/12</f>
        <v>0</v>
      </c>
      <c r="N15" s="6">
        <f>Jahreswerte!$Q12/12</f>
        <v>0</v>
      </c>
      <c r="O15" s="6">
        <f>Jahreswerte!$Q12/12</f>
        <v>0</v>
      </c>
      <c r="P15" s="6">
        <f>Jahreswerte!$Q12/12</f>
        <v>0</v>
      </c>
      <c r="Q15" s="72">
        <f>Jahreswerte!$Q12/12</f>
        <v>0</v>
      </c>
      <c r="R15" s="113">
        <f ca="1">SUM(OFFSET(F15,,,,$M$2))</f>
        <v>0</v>
      </c>
      <c r="S15" s="64" t="str">
        <f aca="true" t="shared" si="4" ref="S15:S30">_xlfn.IFERROR(R15/$R$18%,"-       ")</f>
        <v xml:space="preserve">-       </v>
      </c>
    </row>
    <row r="16" spans="2:19" ht="12.75">
      <c r="B16" s="63">
        <f>B15+1</f>
        <v>2</v>
      </c>
      <c r="C16" s="1" t="str">
        <f>Jahreswerte!C13</f>
        <v>Bestandsveränderungen</v>
      </c>
      <c r="E16" s="127"/>
      <c r="F16" s="105">
        <f>Jahreswerte!$Q13/12</f>
        <v>0</v>
      </c>
      <c r="G16" s="6">
        <f>Jahreswerte!$Q13/12</f>
        <v>0</v>
      </c>
      <c r="H16" s="6">
        <f>Jahreswerte!$Q13/12</f>
        <v>0</v>
      </c>
      <c r="I16" s="6">
        <f>Jahreswerte!$Q13/12</f>
        <v>0</v>
      </c>
      <c r="J16" s="6">
        <f>Jahreswerte!$Q13/12</f>
        <v>0</v>
      </c>
      <c r="K16" s="6">
        <f>Jahreswerte!$Q13/12</f>
        <v>0</v>
      </c>
      <c r="L16" s="6">
        <f>Jahreswerte!$Q13/12</f>
        <v>0</v>
      </c>
      <c r="M16" s="6">
        <f>Jahreswerte!$Q13/12</f>
        <v>0</v>
      </c>
      <c r="N16" s="6">
        <f>Jahreswerte!$Q13/12</f>
        <v>0</v>
      </c>
      <c r="O16" s="6">
        <f>Jahreswerte!$Q13/12</f>
        <v>0</v>
      </c>
      <c r="P16" s="6">
        <f>Jahreswerte!$Q13/12</f>
        <v>0</v>
      </c>
      <c r="Q16" s="72">
        <f>Jahreswerte!$Q13/12</f>
        <v>0</v>
      </c>
      <c r="R16" s="113">
        <f ca="1">SUM(OFFSET(F16,,,,$M$2))</f>
        <v>0</v>
      </c>
      <c r="S16" s="74" t="str">
        <f ca="1" t="shared" si="4"/>
        <v xml:space="preserve">-       </v>
      </c>
    </row>
    <row r="17" spans="2:22" s="93" customFormat="1" ht="15" customHeight="1">
      <c r="B17" s="94">
        <f>B16+1</f>
        <v>3</v>
      </c>
      <c r="C17" s="93" t="str">
        <f>Jahreswerte!C14</f>
        <v>Aktivierte Eigenleistungen</v>
      </c>
      <c r="E17" s="128"/>
      <c r="F17" s="156">
        <f>Jahreswerte!$Q14/12</f>
        <v>0</v>
      </c>
      <c r="G17" s="157">
        <f>Jahreswerte!$Q14/12</f>
        <v>0</v>
      </c>
      <c r="H17" s="157">
        <f>Jahreswerte!$Q14/12</f>
        <v>0</v>
      </c>
      <c r="I17" s="157">
        <f>Jahreswerte!$Q14/12</f>
        <v>0</v>
      </c>
      <c r="J17" s="157">
        <f>Jahreswerte!$Q14/12</f>
        <v>0</v>
      </c>
      <c r="K17" s="157">
        <f>Jahreswerte!$Q14/12</f>
        <v>0</v>
      </c>
      <c r="L17" s="157">
        <f>Jahreswerte!$Q14/12</f>
        <v>0</v>
      </c>
      <c r="M17" s="157">
        <f>Jahreswerte!$Q14/12</f>
        <v>0</v>
      </c>
      <c r="N17" s="157">
        <f>Jahreswerte!$Q14/12</f>
        <v>0</v>
      </c>
      <c r="O17" s="157">
        <f>Jahreswerte!$Q14/12</f>
        <v>0</v>
      </c>
      <c r="P17" s="157">
        <f>Jahreswerte!$Q14/12</f>
        <v>0</v>
      </c>
      <c r="Q17" s="158">
        <f>Jahreswerte!$Q14/12</f>
        <v>0</v>
      </c>
      <c r="R17" s="100">
        <f ca="1">SUM(OFFSET(F17,,,,$M$2))</f>
        <v>0</v>
      </c>
      <c r="S17" s="102" t="str">
        <f ca="1" t="shared" si="4"/>
        <v xml:space="preserve">-       </v>
      </c>
      <c r="V17" s="122"/>
    </row>
    <row r="18" spans="2:22" s="39" customFormat="1" ht="17.25" customHeight="1">
      <c r="B18" s="217">
        <f>B17+1</f>
        <v>4</v>
      </c>
      <c r="C18" s="219" t="str">
        <f>Jahreswerte!C15</f>
        <v>Gesamtleistung</v>
      </c>
      <c r="D18" s="219"/>
      <c r="E18" s="222"/>
      <c r="F18" s="220">
        <f>F15+F16+F17</f>
        <v>0</v>
      </c>
      <c r="G18" s="220">
        <f aca="true" t="shared" si="5" ref="G18:Q18">G15+G16+G17</f>
        <v>0</v>
      </c>
      <c r="H18" s="220">
        <f t="shared" si="5"/>
        <v>0</v>
      </c>
      <c r="I18" s="220">
        <f t="shared" si="5"/>
        <v>0</v>
      </c>
      <c r="J18" s="220">
        <f t="shared" si="5"/>
        <v>0</v>
      </c>
      <c r="K18" s="220">
        <f t="shared" si="5"/>
        <v>0</v>
      </c>
      <c r="L18" s="220">
        <f t="shared" si="5"/>
        <v>0</v>
      </c>
      <c r="M18" s="220">
        <f t="shared" si="5"/>
        <v>0</v>
      </c>
      <c r="N18" s="220">
        <f t="shared" si="5"/>
        <v>0</v>
      </c>
      <c r="O18" s="220">
        <f t="shared" si="5"/>
        <v>0</v>
      </c>
      <c r="P18" s="220">
        <f t="shared" si="5"/>
        <v>0</v>
      </c>
      <c r="Q18" s="220">
        <f t="shared" si="5"/>
        <v>0</v>
      </c>
      <c r="R18" s="220">
        <f ca="1">R15+R16+R17</f>
        <v>0</v>
      </c>
      <c r="S18" s="221" t="str">
        <f ca="1" t="shared" si="4"/>
        <v xml:space="preserve">-       </v>
      </c>
      <c r="V18" s="120"/>
    </row>
    <row r="19" spans="2:19" ht="15" customHeight="1">
      <c r="B19" s="63">
        <f>B18+1</f>
        <v>5</v>
      </c>
      <c r="C19" s="1" t="str">
        <f>Jahreswerte!C16</f>
        <v>Materialaufwand</v>
      </c>
      <c r="E19" s="129">
        <f>IF(ISNUMBER(Jahreswerte!R16),Jahreswerte!R16,0)</f>
        <v>0</v>
      </c>
      <c r="F19" s="159">
        <f>F18*$E$19%</f>
        <v>0</v>
      </c>
      <c r="G19" s="29">
        <f aca="true" t="shared" si="6" ref="G19:Q19">G18*$E$19%</f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6"/>
        <v>0</v>
      </c>
      <c r="P19" s="29">
        <f t="shared" si="6"/>
        <v>0</v>
      </c>
      <c r="Q19" s="162">
        <f t="shared" si="6"/>
        <v>0</v>
      </c>
      <c r="R19" s="113">
        <f ca="1">SUM(OFFSET(F19,,,,$M$2))</f>
        <v>0</v>
      </c>
      <c r="S19" s="74" t="str">
        <f ca="1" t="shared" si="4"/>
        <v xml:space="preserve">-       </v>
      </c>
    </row>
    <row r="20" spans="2:22" s="93" customFormat="1" ht="15" customHeight="1">
      <c r="B20" s="103" t="str">
        <f>B19&amp;"a"</f>
        <v>5a</v>
      </c>
      <c r="C20" s="93" t="str">
        <f>Jahreswerte!C17</f>
        <v xml:space="preserve">   davon Fremdleister</v>
      </c>
      <c r="E20" s="130">
        <f>IF(ISNUMBER(Jahreswerte!R17),Jahreswerte!R17,0)</f>
        <v>0</v>
      </c>
      <c r="F20" s="156">
        <f>F18*$E$20%</f>
        <v>0</v>
      </c>
      <c r="G20" s="95">
        <f aca="true" t="shared" si="7" ref="G20:Q20">G18*$E$20%</f>
        <v>0</v>
      </c>
      <c r="H20" s="95">
        <f t="shared" si="7"/>
        <v>0</v>
      </c>
      <c r="I20" s="95">
        <f t="shared" si="7"/>
        <v>0</v>
      </c>
      <c r="J20" s="95">
        <f t="shared" si="7"/>
        <v>0</v>
      </c>
      <c r="K20" s="95">
        <f t="shared" si="7"/>
        <v>0</v>
      </c>
      <c r="L20" s="95">
        <f t="shared" si="7"/>
        <v>0</v>
      </c>
      <c r="M20" s="95">
        <f t="shared" si="7"/>
        <v>0</v>
      </c>
      <c r="N20" s="95">
        <f t="shared" si="7"/>
        <v>0</v>
      </c>
      <c r="O20" s="95">
        <f t="shared" si="7"/>
        <v>0</v>
      </c>
      <c r="P20" s="95">
        <f t="shared" si="7"/>
        <v>0</v>
      </c>
      <c r="Q20" s="158">
        <f t="shared" si="7"/>
        <v>0</v>
      </c>
      <c r="R20" s="100">
        <f ca="1">SUM(OFFSET(F20,,,,$M$2))</f>
        <v>0</v>
      </c>
      <c r="S20" s="102" t="str">
        <f ca="1" t="shared" si="4"/>
        <v xml:space="preserve">-       </v>
      </c>
      <c r="V20" s="122"/>
    </row>
    <row r="21" spans="2:22" s="39" customFormat="1" ht="17.25" customHeight="1">
      <c r="B21" s="217">
        <f>B19+1</f>
        <v>6</v>
      </c>
      <c r="C21" s="219" t="str">
        <f>Jahreswerte!C18</f>
        <v>Rohertrag (DB I)</v>
      </c>
      <c r="D21" s="219"/>
      <c r="E21" s="222"/>
      <c r="F21" s="220">
        <f>F18-F19</f>
        <v>0</v>
      </c>
      <c r="G21" s="220">
        <f aca="true" t="shared" si="8" ref="G21:Q21">G18-G19</f>
        <v>0</v>
      </c>
      <c r="H21" s="220">
        <f t="shared" si="8"/>
        <v>0</v>
      </c>
      <c r="I21" s="220">
        <f t="shared" si="8"/>
        <v>0</v>
      </c>
      <c r="J21" s="220">
        <f t="shared" si="8"/>
        <v>0</v>
      </c>
      <c r="K21" s="220">
        <f t="shared" si="8"/>
        <v>0</v>
      </c>
      <c r="L21" s="220">
        <f t="shared" si="8"/>
        <v>0</v>
      </c>
      <c r="M21" s="220">
        <f t="shared" si="8"/>
        <v>0</v>
      </c>
      <c r="N21" s="220">
        <f t="shared" si="8"/>
        <v>0</v>
      </c>
      <c r="O21" s="220">
        <f t="shared" si="8"/>
        <v>0</v>
      </c>
      <c r="P21" s="220">
        <f t="shared" si="8"/>
        <v>0</v>
      </c>
      <c r="Q21" s="220">
        <f t="shared" si="8"/>
        <v>0</v>
      </c>
      <c r="R21" s="220">
        <f ca="1">R18-R19</f>
        <v>0</v>
      </c>
      <c r="S21" s="221" t="str">
        <f ca="1" t="shared" si="4"/>
        <v xml:space="preserve">-       </v>
      </c>
      <c r="V21" s="120"/>
    </row>
    <row r="22" spans="2:22" s="39" customFormat="1" ht="17.25" customHeight="1">
      <c r="B22" s="82">
        <f aca="true" t="shared" si="9" ref="B22:B30">B21+1</f>
        <v>7</v>
      </c>
      <c r="C22" s="39" t="str">
        <f>Jahreswerte!C19</f>
        <v>Personalaufwand</v>
      </c>
      <c r="E22" s="131"/>
      <c r="F22" s="160">
        <f>Jahreswerte!$Q19/12</f>
        <v>0</v>
      </c>
      <c r="G22" s="87">
        <f>Jahreswerte!$Q19/12</f>
        <v>0</v>
      </c>
      <c r="H22" s="87">
        <f>Jahreswerte!$Q19/12</f>
        <v>0</v>
      </c>
      <c r="I22" s="87">
        <f>Jahreswerte!$Q19/12</f>
        <v>0</v>
      </c>
      <c r="J22" s="87">
        <f>Jahreswerte!$Q19/12</f>
        <v>0</v>
      </c>
      <c r="K22" s="87">
        <f>Jahreswerte!$Q19/12</f>
        <v>0</v>
      </c>
      <c r="L22" s="87">
        <f>Jahreswerte!$Q19/12</f>
        <v>0</v>
      </c>
      <c r="M22" s="87">
        <f>Jahreswerte!$Q19/12</f>
        <v>0</v>
      </c>
      <c r="N22" s="87">
        <f>Jahreswerte!$Q19/12</f>
        <v>0</v>
      </c>
      <c r="O22" s="87">
        <f>Jahreswerte!$Q19/12</f>
        <v>0</v>
      </c>
      <c r="P22" s="87">
        <f>Jahreswerte!$Q19/12</f>
        <v>0</v>
      </c>
      <c r="Q22" s="163">
        <f>Jahreswerte!$Q19/12</f>
        <v>0</v>
      </c>
      <c r="R22" s="90">
        <f ca="1">SUM(OFFSET(F22,,,,$M$2))</f>
        <v>0</v>
      </c>
      <c r="S22" s="92" t="str">
        <f ca="1" t="shared" si="4"/>
        <v xml:space="preserve">-       </v>
      </c>
      <c r="V22" s="120"/>
    </row>
    <row r="23" spans="2:22" s="39" customFormat="1" ht="17.25" customHeight="1">
      <c r="B23" s="217">
        <f t="shared" si="9"/>
        <v>8</v>
      </c>
      <c r="C23" s="219" t="str">
        <f>Jahreswerte!C20</f>
        <v>Deckungsbeitrag II</v>
      </c>
      <c r="D23" s="219"/>
      <c r="E23" s="222"/>
      <c r="F23" s="220">
        <f>F21-F22</f>
        <v>0</v>
      </c>
      <c r="G23" s="220">
        <f aca="true" t="shared" si="10" ref="G23:Q23">G21-G22</f>
        <v>0</v>
      </c>
      <c r="H23" s="220">
        <f t="shared" si="10"/>
        <v>0</v>
      </c>
      <c r="I23" s="220">
        <f t="shared" si="10"/>
        <v>0</v>
      </c>
      <c r="J23" s="220">
        <f t="shared" si="10"/>
        <v>0</v>
      </c>
      <c r="K23" s="220">
        <f t="shared" si="10"/>
        <v>0</v>
      </c>
      <c r="L23" s="220">
        <f t="shared" si="10"/>
        <v>0</v>
      </c>
      <c r="M23" s="220">
        <f t="shared" si="10"/>
        <v>0</v>
      </c>
      <c r="N23" s="220">
        <f t="shared" si="10"/>
        <v>0</v>
      </c>
      <c r="O23" s="220">
        <f t="shared" si="10"/>
        <v>0</v>
      </c>
      <c r="P23" s="220">
        <f t="shared" si="10"/>
        <v>0</v>
      </c>
      <c r="Q23" s="220">
        <f t="shared" si="10"/>
        <v>0</v>
      </c>
      <c r="R23" s="220">
        <f ca="1">R21-R22</f>
        <v>0</v>
      </c>
      <c r="S23" s="221" t="str">
        <f ca="1" t="shared" si="4"/>
        <v xml:space="preserve">-       </v>
      </c>
      <c r="V23" s="120"/>
    </row>
    <row r="24" spans="2:19" ht="15" customHeight="1">
      <c r="B24" s="63">
        <f t="shared" si="9"/>
        <v>9</v>
      </c>
      <c r="C24" s="1" t="str">
        <f>Jahreswerte!C21</f>
        <v>Abschreibungen</v>
      </c>
      <c r="E24" s="127"/>
      <c r="F24" s="161">
        <f>Jahreswerte!$Q21/12</f>
        <v>0</v>
      </c>
      <c r="G24" s="6">
        <f>Jahreswerte!$Q21/12</f>
        <v>0</v>
      </c>
      <c r="H24" s="6">
        <f>Jahreswerte!$Q21/12</f>
        <v>0</v>
      </c>
      <c r="I24" s="6">
        <f>Jahreswerte!$Q21/12</f>
        <v>0</v>
      </c>
      <c r="J24" s="6">
        <f>Jahreswerte!$Q21/12</f>
        <v>0</v>
      </c>
      <c r="K24" s="6">
        <f>Jahreswerte!$Q21/12</f>
        <v>0</v>
      </c>
      <c r="L24" s="6">
        <f>Jahreswerte!$Q21/12</f>
        <v>0</v>
      </c>
      <c r="M24" s="6">
        <f>Jahreswerte!$Q21/12</f>
        <v>0</v>
      </c>
      <c r="N24" s="6">
        <f>Jahreswerte!$Q21/12</f>
        <v>0</v>
      </c>
      <c r="O24" s="6">
        <f>Jahreswerte!$Q21/12</f>
        <v>0</v>
      </c>
      <c r="P24" s="6">
        <f>Jahreswerte!$Q21/12</f>
        <v>0</v>
      </c>
      <c r="Q24" s="164">
        <f>Jahreswerte!$Q21/12</f>
        <v>0</v>
      </c>
      <c r="R24" s="113">
        <f ca="1">SUM(OFFSET(F24,,,,$M$2))</f>
        <v>0</v>
      </c>
      <c r="S24" s="74" t="str">
        <f ca="1" t="shared" si="4"/>
        <v xml:space="preserve">-       </v>
      </c>
    </row>
    <row r="25" spans="2:19" ht="12.75">
      <c r="B25" s="63">
        <f t="shared" si="9"/>
        <v>10</v>
      </c>
      <c r="C25" s="1" t="str">
        <f>Jahreswerte!C22</f>
        <v>Zinsaufwand</v>
      </c>
      <c r="E25" s="127"/>
      <c r="F25" s="105">
        <f>Jahreswerte!$Q22/12</f>
        <v>0</v>
      </c>
      <c r="G25" s="6">
        <f>Jahreswerte!$Q22/12</f>
        <v>0</v>
      </c>
      <c r="H25" s="6">
        <f>Jahreswerte!$Q22/12</f>
        <v>0</v>
      </c>
      <c r="I25" s="6">
        <f>Jahreswerte!$Q22/12</f>
        <v>0</v>
      </c>
      <c r="J25" s="6">
        <f>Jahreswerte!$Q22/12</f>
        <v>0</v>
      </c>
      <c r="K25" s="6">
        <f>Jahreswerte!$Q22/12</f>
        <v>0</v>
      </c>
      <c r="L25" s="6">
        <f>Jahreswerte!$Q22/12</f>
        <v>0</v>
      </c>
      <c r="M25" s="6">
        <f>Jahreswerte!$Q22/12</f>
        <v>0</v>
      </c>
      <c r="N25" s="6">
        <f>Jahreswerte!$Q22/12</f>
        <v>0</v>
      </c>
      <c r="O25" s="6">
        <f>Jahreswerte!$Q22/12</f>
        <v>0</v>
      </c>
      <c r="P25" s="6">
        <f>Jahreswerte!$Q22/12</f>
        <v>0</v>
      </c>
      <c r="Q25" s="72">
        <f>Jahreswerte!$Q22/12</f>
        <v>0</v>
      </c>
      <c r="R25" s="113">
        <f ca="1">SUM(OFFSET(F25,,,,$M$2))</f>
        <v>0</v>
      </c>
      <c r="S25" s="74" t="str">
        <f ca="1" t="shared" si="4"/>
        <v xml:space="preserve">-       </v>
      </c>
    </row>
    <row r="26" spans="2:22" s="93" customFormat="1" ht="15" customHeight="1">
      <c r="B26" s="94">
        <f t="shared" si="9"/>
        <v>11</v>
      </c>
      <c r="C26" s="93" t="str">
        <f>Jahreswerte!C23</f>
        <v>Sonstiger Aufwand</v>
      </c>
      <c r="E26" s="128"/>
      <c r="F26" s="156">
        <f>Jahreswerte!$Q23/12</f>
        <v>0</v>
      </c>
      <c r="G26" s="95">
        <f>Jahreswerte!$Q23/12</f>
        <v>0</v>
      </c>
      <c r="H26" s="95">
        <f>Jahreswerte!$Q23/12</f>
        <v>0</v>
      </c>
      <c r="I26" s="95">
        <f>Jahreswerte!$Q23/12</f>
        <v>0</v>
      </c>
      <c r="J26" s="95">
        <f>Jahreswerte!$Q23/12</f>
        <v>0</v>
      </c>
      <c r="K26" s="95">
        <f>Jahreswerte!$Q23/12</f>
        <v>0</v>
      </c>
      <c r="L26" s="95">
        <f>Jahreswerte!$Q23/12</f>
        <v>0</v>
      </c>
      <c r="M26" s="95">
        <f>Jahreswerte!$Q23/12</f>
        <v>0</v>
      </c>
      <c r="N26" s="95">
        <f>Jahreswerte!$Q23/12</f>
        <v>0</v>
      </c>
      <c r="O26" s="95">
        <f>Jahreswerte!$Q23/12</f>
        <v>0</v>
      </c>
      <c r="P26" s="95">
        <f>Jahreswerte!$Q23/12</f>
        <v>0</v>
      </c>
      <c r="Q26" s="158">
        <f>Jahreswerte!$Q23/12</f>
        <v>0</v>
      </c>
      <c r="R26" s="100">
        <f ca="1">SUM(OFFSET(F26,,,,$M$2))</f>
        <v>0</v>
      </c>
      <c r="S26" s="102" t="str">
        <f ca="1" t="shared" si="4"/>
        <v xml:space="preserve">-       </v>
      </c>
      <c r="V26" s="122"/>
    </row>
    <row r="27" spans="2:22" s="39" customFormat="1" ht="17.25" customHeight="1">
      <c r="B27" s="217">
        <f t="shared" si="9"/>
        <v>12</v>
      </c>
      <c r="C27" s="219" t="str">
        <f>Jahreswerte!C24</f>
        <v>Betriebsergebnis</v>
      </c>
      <c r="D27" s="219"/>
      <c r="E27" s="222"/>
      <c r="F27" s="220">
        <f>F23-F24-F25-F26</f>
        <v>0</v>
      </c>
      <c r="G27" s="220">
        <f aca="true" t="shared" si="11" ref="G27:Q27">G23-G24-G25-G26</f>
        <v>0</v>
      </c>
      <c r="H27" s="220">
        <f t="shared" si="11"/>
        <v>0</v>
      </c>
      <c r="I27" s="220">
        <f t="shared" si="11"/>
        <v>0</v>
      </c>
      <c r="J27" s="220">
        <f t="shared" si="11"/>
        <v>0</v>
      </c>
      <c r="K27" s="220">
        <f t="shared" si="11"/>
        <v>0</v>
      </c>
      <c r="L27" s="220">
        <f t="shared" si="11"/>
        <v>0</v>
      </c>
      <c r="M27" s="220">
        <f t="shared" si="11"/>
        <v>0</v>
      </c>
      <c r="N27" s="220">
        <f t="shared" si="11"/>
        <v>0</v>
      </c>
      <c r="O27" s="220">
        <f t="shared" si="11"/>
        <v>0</v>
      </c>
      <c r="P27" s="220">
        <f t="shared" si="11"/>
        <v>0</v>
      </c>
      <c r="Q27" s="220">
        <f t="shared" si="11"/>
        <v>0</v>
      </c>
      <c r="R27" s="220">
        <f ca="1">R23-R24-R25-R26</f>
        <v>0</v>
      </c>
      <c r="S27" s="221" t="str">
        <f ca="1" t="shared" si="4"/>
        <v xml:space="preserve">-       </v>
      </c>
      <c r="V27" s="120"/>
    </row>
    <row r="28" spans="2:19" ht="15" customHeight="1">
      <c r="B28" s="63">
        <f t="shared" si="9"/>
        <v>13</v>
      </c>
      <c r="C28" s="1" t="str">
        <f>Jahreswerte!C25</f>
        <v>Neutrales Ergebnis</v>
      </c>
      <c r="E28" s="127"/>
      <c r="F28" s="161">
        <f>Jahreswerte!$Q25/12</f>
        <v>0</v>
      </c>
      <c r="G28" s="6">
        <f>Jahreswerte!$Q25/12</f>
        <v>0</v>
      </c>
      <c r="H28" s="6">
        <f>Jahreswerte!$Q25/12</f>
        <v>0</v>
      </c>
      <c r="I28" s="6">
        <f>Jahreswerte!$Q25/12</f>
        <v>0</v>
      </c>
      <c r="J28" s="6">
        <f>Jahreswerte!$Q25/12</f>
        <v>0</v>
      </c>
      <c r="K28" s="6">
        <f>Jahreswerte!$Q25/12</f>
        <v>0</v>
      </c>
      <c r="L28" s="6">
        <f>Jahreswerte!$Q25/12</f>
        <v>0</v>
      </c>
      <c r="M28" s="6">
        <f>Jahreswerte!$Q25/12</f>
        <v>0</v>
      </c>
      <c r="N28" s="6">
        <f>Jahreswerte!$Q25/12</f>
        <v>0</v>
      </c>
      <c r="O28" s="6">
        <f>Jahreswerte!$Q25/12</f>
        <v>0</v>
      </c>
      <c r="P28" s="6">
        <f>Jahreswerte!$Q25/12</f>
        <v>0</v>
      </c>
      <c r="Q28" s="164">
        <f>Jahreswerte!$Q25/12</f>
        <v>0</v>
      </c>
      <c r="R28" s="113">
        <f ca="1">SUM(OFFSET(F28,,,,$M$2))</f>
        <v>0</v>
      </c>
      <c r="S28" s="74" t="str">
        <f ca="1" t="shared" si="4"/>
        <v xml:space="preserve">-       </v>
      </c>
    </row>
    <row r="29" spans="2:22" s="98" customFormat="1" ht="15" customHeight="1">
      <c r="B29" s="94">
        <f t="shared" si="9"/>
        <v>14</v>
      </c>
      <c r="C29" s="98" t="str">
        <f>Jahreswerte!C26</f>
        <v>EE-Steuern</v>
      </c>
      <c r="E29" s="130">
        <f>-IF(ISERROR(Jahreswerte!Q26/(Jahreswerte!Q24+Jahreswerte!Q25)),0,Jahreswerte!Q26/(Jahreswerte!Q24+Jahreswerte!Q25)%)</f>
        <v>0</v>
      </c>
      <c r="F29" s="156">
        <f ca="1">-($R$27+$R$28)*$E$29%/12</f>
        <v>0</v>
      </c>
      <c r="G29" s="95">
        <f aca="true" t="shared" si="12" ref="G29:Q29">-($R$27+$R$28)*$E$29%/12</f>
        <v>0</v>
      </c>
      <c r="H29" s="95">
        <f ca="1" t="shared" si="12"/>
        <v>0</v>
      </c>
      <c r="I29" s="95">
        <f ca="1" t="shared" si="12"/>
        <v>0</v>
      </c>
      <c r="J29" s="95">
        <f ca="1" t="shared" si="12"/>
        <v>0</v>
      </c>
      <c r="K29" s="95">
        <f ca="1" t="shared" si="12"/>
        <v>0</v>
      </c>
      <c r="L29" s="95">
        <f ca="1" t="shared" si="12"/>
        <v>0</v>
      </c>
      <c r="M29" s="95">
        <f ca="1" t="shared" si="12"/>
        <v>0</v>
      </c>
      <c r="N29" s="95">
        <f ca="1" t="shared" si="12"/>
        <v>0</v>
      </c>
      <c r="O29" s="95">
        <f ca="1" t="shared" si="12"/>
        <v>0</v>
      </c>
      <c r="P29" s="95">
        <f ca="1" t="shared" si="12"/>
        <v>0</v>
      </c>
      <c r="Q29" s="158">
        <f ca="1" t="shared" si="12"/>
        <v>0</v>
      </c>
      <c r="R29" s="100">
        <f ca="1">SUM(OFFSET(F29,,,,$M$2))</f>
        <v>0</v>
      </c>
      <c r="S29" s="102" t="str">
        <f ca="1" t="shared" si="4"/>
        <v xml:space="preserve">-       </v>
      </c>
      <c r="V29" s="122"/>
    </row>
    <row r="30" spans="2:22" s="39" customFormat="1" ht="17.25" customHeight="1">
      <c r="B30" s="217">
        <f t="shared" si="9"/>
        <v>15</v>
      </c>
      <c r="C30" s="219" t="str">
        <f>Jahreswerte!C27</f>
        <v>Unternehmensergebnis</v>
      </c>
      <c r="D30" s="219"/>
      <c r="E30" s="222"/>
      <c r="F30" s="220">
        <f ca="1">F27+F28+F29</f>
        <v>0</v>
      </c>
      <c r="G30" s="220">
        <f aca="true" t="shared" si="13" ref="G30:Q30">G27+G28+G29</f>
        <v>0</v>
      </c>
      <c r="H30" s="220">
        <f ca="1" t="shared" si="13"/>
        <v>0</v>
      </c>
      <c r="I30" s="220">
        <f ca="1" t="shared" si="13"/>
        <v>0</v>
      </c>
      <c r="J30" s="220">
        <f ca="1" t="shared" si="13"/>
        <v>0</v>
      </c>
      <c r="K30" s="220">
        <f ca="1" t="shared" si="13"/>
        <v>0</v>
      </c>
      <c r="L30" s="220">
        <f ca="1" t="shared" si="13"/>
        <v>0</v>
      </c>
      <c r="M30" s="220">
        <f ca="1" t="shared" si="13"/>
        <v>0</v>
      </c>
      <c r="N30" s="220">
        <f ca="1" t="shared" si="13"/>
        <v>0</v>
      </c>
      <c r="O30" s="220">
        <f ca="1" t="shared" si="13"/>
        <v>0</v>
      </c>
      <c r="P30" s="220">
        <f ca="1" t="shared" si="13"/>
        <v>0</v>
      </c>
      <c r="Q30" s="220">
        <f ca="1" t="shared" si="13"/>
        <v>0</v>
      </c>
      <c r="R30" s="220">
        <f ca="1">R27+R28+R29</f>
        <v>0</v>
      </c>
      <c r="S30" s="221" t="str">
        <f ca="1" t="shared" si="4"/>
        <v xml:space="preserve">-       </v>
      </c>
      <c r="V30" s="120"/>
    </row>
    <row r="31" ht="5.25" customHeight="1"/>
    <row r="32" spans="2:22" s="39" customFormat="1" ht="20.1" customHeight="1">
      <c r="B32" s="396" t="str">
        <f>"Statische Monatsfinanzplanung "&amp;IF(ISNUMBER(Jahreswerte!M6),Jahreswerte!M6,"")&amp;IF(ISNUMBER(Jahreswerte!P6)," / "&amp;Jahreswerte!P6,"")</f>
        <v>Statische Monatsfinanzplanung 2020</v>
      </c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132"/>
      <c r="S32" s="133"/>
      <c r="V32" s="120"/>
    </row>
    <row r="33" spans="2:23" s="5" customFormat="1" ht="12.75" customHeight="1">
      <c r="B33" s="61"/>
      <c r="E33" s="124">
        <f>DATE(IF(ISNUMBER(Jahreswerte!P6),Jahreswerte!M6,Jahreswerte!M6),Monatswerte!F11,0)</f>
        <v>43830</v>
      </c>
      <c r="F33" s="153">
        <f>F13</f>
        <v>43831</v>
      </c>
      <c r="G33" s="154">
        <f aca="true" t="shared" si="14" ref="G33:Q33">G13</f>
        <v>43862</v>
      </c>
      <c r="H33" s="154">
        <f t="shared" si="14"/>
        <v>43891</v>
      </c>
      <c r="I33" s="154">
        <f t="shared" si="14"/>
        <v>43922</v>
      </c>
      <c r="J33" s="154">
        <f t="shared" si="14"/>
        <v>43952</v>
      </c>
      <c r="K33" s="154">
        <f t="shared" si="14"/>
        <v>43983</v>
      </c>
      <c r="L33" s="154">
        <f t="shared" si="14"/>
        <v>44013</v>
      </c>
      <c r="M33" s="154">
        <f t="shared" si="14"/>
        <v>44044</v>
      </c>
      <c r="N33" s="154">
        <f t="shared" si="14"/>
        <v>44075</v>
      </c>
      <c r="O33" s="154">
        <f t="shared" si="14"/>
        <v>44105</v>
      </c>
      <c r="P33" s="154">
        <f t="shared" si="14"/>
        <v>44136</v>
      </c>
      <c r="Q33" s="155">
        <f t="shared" si="14"/>
        <v>44166</v>
      </c>
      <c r="R33" s="405">
        <f ca="1">EOMONTH(OFFSET(Q33,,-(12-M2)),0)</f>
        <v>44196</v>
      </c>
      <c r="S33" s="406"/>
      <c r="V33" s="121"/>
      <c r="W33" s="123"/>
    </row>
    <row r="34" spans="2:23" s="192" customFormat="1" ht="12.75" customHeight="1">
      <c r="B34" s="194"/>
      <c r="C34" s="195"/>
      <c r="D34" s="195"/>
      <c r="E34" s="196" t="s">
        <v>8</v>
      </c>
      <c r="F34" s="197" t="s">
        <v>8</v>
      </c>
      <c r="G34" s="196" t="str">
        <f>F34</f>
        <v>T€</v>
      </c>
      <c r="H34" s="196" t="str">
        <f aca="true" t="shared" si="15" ref="H34:Q34">G34</f>
        <v>T€</v>
      </c>
      <c r="I34" s="196" t="str">
        <f t="shared" si="15"/>
        <v>T€</v>
      </c>
      <c r="J34" s="196" t="str">
        <f t="shared" si="15"/>
        <v>T€</v>
      </c>
      <c r="K34" s="196" t="str">
        <f t="shared" si="15"/>
        <v>T€</v>
      </c>
      <c r="L34" s="196" t="str">
        <f t="shared" si="15"/>
        <v>T€</v>
      </c>
      <c r="M34" s="196" t="str">
        <f t="shared" si="15"/>
        <v>T€</v>
      </c>
      <c r="N34" s="196" t="str">
        <f t="shared" si="15"/>
        <v>T€</v>
      </c>
      <c r="O34" s="196" t="str">
        <f t="shared" si="15"/>
        <v>T€</v>
      </c>
      <c r="P34" s="196" t="str">
        <f t="shared" si="15"/>
        <v>T€</v>
      </c>
      <c r="Q34" s="198" t="str">
        <f t="shared" si="15"/>
        <v>T€</v>
      </c>
      <c r="R34" s="199" t="s">
        <v>8</v>
      </c>
      <c r="S34" s="200"/>
      <c r="V34" s="122"/>
      <c r="W34" s="193"/>
    </row>
    <row r="35" spans="2:19" ht="15" customHeight="1">
      <c r="B35" s="63">
        <f>B30+1</f>
        <v>16</v>
      </c>
      <c r="C35" s="1" t="str">
        <f>Jahreswerte!C31</f>
        <v>Anlagevermögen</v>
      </c>
      <c r="E35" s="138">
        <f>Jahreswerte!D31</f>
        <v>0</v>
      </c>
      <c r="F35" s="105"/>
      <c r="G35" s="6"/>
      <c r="H35" s="6"/>
      <c r="I35" s="6"/>
      <c r="J35" s="6"/>
      <c r="K35" s="6"/>
      <c r="L35" s="6"/>
      <c r="M35" s="6"/>
      <c r="N35" s="6"/>
      <c r="O35" s="6"/>
      <c r="P35" s="6"/>
      <c r="Q35" s="72"/>
      <c r="R35" s="113">
        <f ca="1">SUM(OFFSET(E35,,,,$M$2+1))-R24+R17</f>
        <v>0</v>
      </c>
      <c r="S35" s="64"/>
    </row>
    <row r="36" spans="2:19" ht="12.75">
      <c r="B36" s="63">
        <f>B35+1</f>
        <v>17</v>
      </c>
      <c r="C36" s="1" t="str">
        <f>Jahreswerte!F31</f>
        <v>Wirt. Eigenkapital</v>
      </c>
      <c r="E36" s="138">
        <f>Jahreswerte!G31</f>
        <v>0</v>
      </c>
      <c r="F36" s="105"/>
      <c r="G36" s="6"/>
      <c r="H36" s="6"/>
      <c r="I36" s="6"/>
      <c r="J36" s="6"/>
      <c r="K36" s="6"/>
      <c r="L36" s="6"/>
      <c r="M36" s="6"/>
      <c r="N36" s="6"/>
      <c r="O36" s="6"/>
      <c r="P36" s="6"/>
      <c r="Q36" s="72"/>
      <c r="R36" s="113">
        <f ca="1">SUM(OFFSET(E36,,,,$M$2+1))+R30</f>
        <v>0</v>
      </c>
      <c r="S36" s="74"/>
    </row>
    <row r="37" spans="2:22" s="93" customFormat="1" ht="15" customHeight="1">
      <c r="B37" s="94">
        <f>B36+1</f>
        <v>18</v>
      </c>
      <c r="C37" s="93" t="str">
        <f>Jahreswerte!F32</f>
        <v>langfr. Fremdkapital</v>
      </c>
      <c r="E37" s="137">
        <f>Jahreswerte!G32</f>
        <v>0</v>
      </c>
      <c r="F37" s="156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8"/>
      <c r="R37" s="100">
        <f aca="true" ca="1" t="shared" si="16" ref="R37">SUM(OFFSET(E37,,,,$M$2+1))</f>
        <v>0</v>
      </c>
      <c r="S37" s="102"/>
      <c r="V37" s="122"/>
    </row>
    <row r="38" spans="2:22" s="39" customFormat="1" ht="17.25" customHeight="1">
      <c r="B38" s="79"/>
      <c r="C38" s="80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5"/>
      <c r="V38" s="120"/>
    </row>
    <row r="39" spans="2:19" ht="15" customHeight="1">
      <c r="B39" s="63">
        <f>B37+1</f>
        <v>19</v>
      </c>
      <c r="C39" s="1" t="s">
        <v>71</v>
      </c>
      <c r="E39" s="136">
        <f>Jahreswerte!D36</f>
        <v>0</v>
      </c>
      <c r="F39" s="165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162"/>
      <c r="R39" s="113">
        <f aca="true" ca="1" t="shared" si="17" ref="R39:R41">SUM(OFFSET(E39,,,,$M$2+1))</f>
        <v>0</v>
      </c>
      <c r="S39" s="74"/>
    </row>
    <row r="40" spans="2:22" s="43" customFormat="1" ht="12.75" customHeight="1">
      <c r="B40" s="110">
        <f>B39+1</f>
        <v>20</v>
      </c>
      <c r="C40" s="43" t="s">
        <v>72</v>
      </c>
      <c r="E40" s="134">
        <f>Jahreswerte!D37</f>
        <v>0</v>
      </c>
      <c r="F40" s="166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70"/>
      <c r="R40" s="113">
        <f ca="1" t="shared" si="17"/>
        <v>0</v>
      </c>
      <c r="S40" s="74"/>
      <c r="V40" s="121"/>
    </row>
    <row r="41" spans="2:22" s="93" customFormat="1" ht="15" customHeight="1">
      <c r="B41" s="103">
        <f>B40+1</f>
        <v>21</v>
      </c>
      <c r="C41" s="93" t="s">
        <v>73</v>
      </c>
      <c r="E41" s="137">
        <f>Jahreswerte!G35</f>
        <v>0</v>
      </c>
      <c r="F41" s="167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158"/>
      <c r="R41" s="100">
        <f ca="1" t="shared" si="17"/>
        <v>0</v>
      </c>
      <c r="S41" s="102"/>
      <c r="V41" s="122"/>
    </row>
    <row r="42" spans="2:22" s="39" customFormat="1" ht="17.25" customHeight="1">
      <c r="B42" s="79"/>
      <c r="C42" s="80"/>
      <c r="D42" s="80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5"/>
      <c r="V42" s="120"/>
    </row>
    <row r="43" spans="2:22" s="43" customFormat="1" ht="15" customHeight="1">
      <c r="B43" s="112">
        <f>B41+1</f>
        <v>22</v>
      </c>
      <c r="C43" s="43" t="str">
        <f>Jahreswerte!C32</f>
        <v>Lager RHB</v>
      </c>
      <c r="E43" s="134">
        <f>Jahreswerte!D32</f>
        <v>0</v>
      </c>
      <c r="F43" s="168">
        <f>F44*(SUM($F$19:F19)-SUM($F$20:F20))/(30*F10)</f>
        <v>0</v>
      </c>
      <c r="G43" s="134">
        <f>G44*(SUM($F$19:G19)-SUM($F$20:G20))/(30*G10)</f>
        <v>0</v>
      </c>
      <c r="H43" s="134">
        <f>H44*(SUM($F$19:H19)-SUM($F$20:H20))/(30*H10)</f>
        <v>0</v>
      </c>
      <c r="I43" s="134">
        <f>I44*(SUM($F$19:I19)-SUM($F$20:I20))/(30*I10)</f>
        <v>0</v>
      </c>
      <c r="J43" s="134">
        <f>J44*(SUM($F$19:J19)-SUM($F$20:J20))/(30*J10)</f>
        <v>0</v>
      </c>
      <c r="K43" s="134">
        <f>K44*(SUM($F$19:K19)-SUM($F$20:K20))/(30*K10)</f>
        <v>0</v>
      </c>
      <c r="L43" s="134">
        <f>L44*(SUM($F$19:L19)-SUM($F$20:L20))/(30*L10)</f>
        <v>0</v>
      </c>
      <c r="M43" s="134">
        <f>M44*(SUM($F$19:M19)-SUM($F$20:M20))/(30*M10)</f>
        <v>0</v>
      </c>
      <c r="N43" s="134">
        <f>N44*(SUM($F$19:N19)-SUM($F$20:N20))/(30*N10)</f>
        <v>0</v>
      </c>
      <c r="O43" s="134">
        <f>O44*(SUM($F$19:O19)-SUM($F$20:O20))/(30*O10)</f>
        <v>0</v>
      </c>
      <c r="P43" s="134">
        <f>P44*(SUM($F$19:P19)-SUM($F$20:P20))/(30*P10)</f>
        <v>0</v>
      </c>
      <c r="Q43" s="171">
        <f>Q44*(SUM($F$19:Q19)-SUM($F$20:Q20))/(30*Q10)</f>
        <v>0</v>
      </c>
      <c r="R43" s="113">
        <f>Q43</f>
        <v>0</v>
      </c>
      <c r="S43" s="74"/>
      <c r="V43" s="121"/>
    </row>
    <row r="44" spans="2:22" s="205" customFormat="1" ht="15" customHeight="1">
      <c r="B44" s="125">
        <f aca="true" t="shared" si="18" ref="B44">B43+1</f>
        <v>23</v>
      </c>
      <c r="C44" s="205" t="str">
        <f>Jahreswerte!C43</f>
        <v>Lagerdauer RHB</v>
      </c>
      <c r="E44" s="206">
        <f>Jahreswerte!D43</f>
        <v>0</v>
      </c>
      <c r="F44" s="207">
        <f>E44</f>
        <v>0</v>
      </c>
      <c r="G44" s="208">
        <f aca="true" t="shared" si="19" ref="G44:Q44">F44</f>
        <v>0</v>
      </c>
      <c r="H44" s="208">
        <f t="shared" si="19"/>
        <v>0</v>
      </c>
      <c r="I44" s="208">
        <f t="shared" si="19"/>
        <v>0</v>
      </c>
      <c r="J44" s="208">
        <f t="shared" si="19"/>
        <v>0</v>
      </c>
      <c r="K44" s="208">
        <f t="shared" si="19"/>
        <v>0</v>
      </c>
      <c r="L44" s="208">
        <f t="shared" si="19"/>
        <v>0</v>
      </c>
      <c r="M44" s="208">
        <f t="shared" si="19"/>
        <v>0</v>
      </c>
      <c r="N44" s="208">
        <f t="shared" si="19"/>
        <v>0</v>
      </c>
      <c r="O44" s="208">
        <f t="shared" si="19"/>
        <v>0</v>
      </c>
      <c r="P44" s="208">
        <f t="shared" si="19"/>
        <v>0</v>
      </c>
      <c r="Q44" s="209">
        <f t="shared" si="19"/>
        <v>0</v>
      </c>
      <c r="R44" s="210"/>
      <c r="S44" s="126"/>
      <c r="V44" s="211"/>
    </row>
    <row r="45" spans="2:22" s="39" customFormat="1" ht="17.25" customHeight="1">
      <c r="B45" s="79">
        <f>B44+1</f>
        <v>24</v>
      </c>
      <c r="C45" s="80" t="str">
        <f>"Veränderungen "&amp;C43</f>
        <v>Veränderungen Lager RHB</v>
      </c>
      <c r="D45" s="80"/>
      <c r="E45" s="81"/>
      <c r="F45" s="81">
        <f>E43-F43</f>
        <v>0</v>
      </c>
      <c r="G45" s="81">
        <f aca="true" t="shared" si="20" ref="G45:Q45">F43-G43</f>
        <v>0</v>
      </c>
      <c r="H45" s="81">
        <f t="shared" si="20"/>
        <v>0</v>
      </c>
      <c r="I45" s="81">
        <f t="shared" si="20"/>
        <v>0</v>
      </c>
      <c r="J45" s="81">
        <f t="shared" si="20"/>
        <v>0</v>
      </c>
      <c r="K45" s="81">
        <f t="shared" si="20"/>
        <v>0</v>
      </c>
      <c r="L45" s="81">
        <f t="shared" si="20"/>
        <v>0</v>
      </c>
      <c r="M45" s="81">
        <f t="shared" si="20"/>
        <v>0</v>
      </c>
      <c r="N45" s="81">
        <f t="shared" si="20"/>
        <v>0</v>
      </c>
      <c r="O45" s="81">
        <f t="shared" si="20"/>
        <v>0</v>
      </c>
      <c r="P45" s="81">
        <f t="shared" si="20"/>
        <v>0</v>
      </c>
      <c r="Q45" s="81">
        <f t="shared" si="20"/>
        <v>0</v>
      </c>
      <c r="R45" s="81">
        <f>SUM(F45:Q45)</f>
        <v>0</v>
      </c>
      <c r="S45" s="85"/>
      <c r="V45" s="120"/>
    </row>
    <row r="46" spans="2:22" s="39" customFormat="1" ht="17.25" customHeight="1">
      <c r="B46" s="82">
        <f aca="true" t="shared" si="21" ref="B46">B45+1</f>
        <v>25</v>
      </c>
      <c r="C46" s="39" t="str">
        <f>Jahreswerte!C33</f>
        <v>Lager UE/FE</v>
      </c>
      <c r="E46" s="135">
        <f>Jahreswerte!D33</f>
        <v>0</v>
      </c>
      <c r="F46" s="169">
        <f>E46+F16</f>
        <v>0</v>
      </c>
      <c r="G46" s="135">
        <f aca="true" t="shared" si="22" ref="G46:Q46">F46+G16</f>
        <v>0</v>
      </c>
      <c r="H46" s="135">
        <f t="shared" si="22"/>
        <v>0</v>
      </c>
      <c r="I46" s="135">
        <f t="shared" si="22"/>
        <v>0</v>
      </c>
      <c r="J46" s="135">
        <f t="shared" si="22"/>
        <v>0</v>
      </c>
      <c r="K46" s="135">
        <f t="shared" si="22"/>
        <v>0</v>
      </c>
      <c r="L46" s="135">
        <f t="shared" si="22"/>
        <v>0</v>
      </c>
      <c r="M46" s="135">
        <f t="shared" si="22"/>
        <v>0</v>
      </c>
      <c r="N46" s="135">
        <f t="shared" si="22"/>
        <v>0</v>
      </c>
      <c r="O46" s="135">
        <f t="shared" si="22"/>
        <v>0</v>
      </c>
      <c r="P46" s="135">
        <f t="shared" si="22"/>
        <v>0</v>
      </c>
      <c r="Q46" s="172">
        <f t="shared" si="22"/>
        <v>0</v>
      </c>
      <c r="R46" s="90">
        <f>Q46</f>
        <v>0</v>
      </c>
      <c r="S46" s="92"/>
      <c r="V46" s="120"/>
    </row>
    <row r="47" spans="2:22" s="39" customFormat="1" ht="17.25" customHeight="1">
      <c r="B47" s="79">
        <f>B46+1</f>
        <v>26</v>
      </c>
      <c r="C47" s="80" t="str">
        <f>"Veränderungen "&amp;C46</f>
        <v>Veränderungen Lager UE/FE</v>
      </c>
      <c r="D47" s="80"/>
      <c r="E47" s="81"/>
      <c r="F47" s="81">
        <f>E46-F46</f>
        <v>0</v>
      </c>
      <c r="G47" s="81">
        <f aca="true" t="shared" si="23" ref="G47:Q47">F46-G46</f>
        <v>0</v>
      </c>
      <c r="H47" s="81">
        <f t="shared" si="23"/>
        <v>0</v>
      </c>
      <c r="I47" s="81">
        <f t="shared" si="23"/>
        <v>0</v>
      </c>
      <c r="J47" s="81">
        <f t="shared" si="23"/>
        <v>0</v>
      </c>
      <c r="K47" s="81">
        <f t="shared" si="23"/>
        <v>0</v>
      </c>
      <c r="L47" s="81">
        <f t="shared" si="23"/>
        <v>0</v>
      </c>
      <c r="M47" s="81">
        <f t="shared" si="23"/>
        <v>0</v>
      </c>
      <c r="N47" s="81">
        <f t="shared" si="23"/>
        <v>0</v>
      </c>
      <c r="O47" s="81">
        <f t="shared" si="23"/>
        <v>0</v>
      </c>
      <c r="P47" s="81">
        <f t="shared" si="23"/>
        <v>0</v>
      </c>
      <c r="Q47" s="81">
        <f t="shared" si="23"/>
        <v>0</v>
      </c>
      <c r="R47" s="81">
        <f>SUM(F47:Q47)</f>
        <v>0</v>
      </c>
      <c r="S47" s="85"/>
      <c r="V47" s="120"/>
    </row>
    <row r="48" spans="2:22" s="43" customFormat="1" ht="15" customHeight="1">
      <c r="B48" s="112">
        <f aca="true" t="shared" si="24" ref="B48:B49">B47+1</f>
        <v>27</v>
      </c>
      <c r="C48" s="43" t="str">
        <f>Jahreswerte!C34</f>
        <v>geleistete Anzahlungen</v>
      </c>
      <c r="E48" s="134">
        <f>Jahreswerte!D34</f>
        <v>0</v>
      </c>
      <c r="F48" s="168">
        <f>F49*SUM($F$19:F19)/(30*F10)</f>
        <v>0</v>
      </c>
      <c r="G48" s="134">
        <f>G49*SUM($F$19:G19)/(30*G10)</f>
        <v>0</v>
      </c>
      <c r="H48" s="134">
        <f>H49*SUM($F$19:H19)/(30*H10)</f>
        <v>0</v>
      </c>
      <c r="I48" s="134">
        <f>I49*SUM($F$19:I19)/(30*I10)</f>
        <v>0</v>
      </c>
      <c r="J48" s="134">
        <f>J49*SUM($F$19:J19)/(30*J10)</f>
        <v>0</v>
      </c>
      <c r="K48" s="134">
        <f>K49*SUM($F$19:K19)/(30*K10)</f>
        <v>0</v>
      </c>
      <c r="L48" s="134">
        <f>L49*SUM($F$19:L19)/(30*L10)</f>
        <v>0</v>
      </c>
      <c r="M48" s="134">
        <f>M49*SUM($F$19:M19)/(30*M10)</f>
        <v>0</v>
      </c>
      <c r="N48" s="134">
        <f>N49*SUM($F$19:N19)/(30*N10)</f>
        <v>0</v>
      </c>
      <c r="O48" s="134">
        <f>O49*SUM($F$19:O19)/(30*O10)</f>
        <v>0</v>
      </c>
      <c r="P48" s="134">
        <f>P49*SUM($F$19:P19)/(30*P10)</f>
        <v>0</v>
      </c>
      <c r="Q48" s="171">
        <f>Q49*SUM($F$19:Q19)/(30*Q10)</f>
        <v>0</v>
      </c>
      <c r="R48" s="113">
        <f>Q48</f>
        <v>0</v>
      </c>
      <c r="S48" s="74"/>
      <c r="V48" s="121"/>
    </row>
    <row r="49" spans="2:22" s="205" customFormat="1" ht="15" customHeight="1">
      <c r="B49" s="125">
        <f t="shared" si="24"/>
        <v>28</v>
      </c>
      <c r="C49" s="205" t="str">
        <f>Jahreswerte!C46</f>
        <v>Anzahlungsdauer (gel.)</v>
      </c>
      <c r="E49" s="206">
        <f>Jahreswerte!D46</f>
        <v>0</v>
      </c>
      <c r="F49" s="207">
        <f>E49</f>
        <v>0</v>
      </c>
      <c r="G49" s="208">
        <f aca="true" t="shared" si="25" ref="G49:Q49">F49</f>
        <v>0</v>
      </c>
      <c r="H49" s="208">
        <f t="shared" si="25"/>
        <v>0</v>
      </c>
      <c r="I49" s="208">
        <f t="shared" si="25"/>
        <v>0</v>
      </c>
      <c r="J49" s="208">
        <f t="shared" si="25"/>
        <v>0</v>
      </c>
      <c r="K49" s="208">
        <f t="shared" si="25"/>
        <v>0</v>
      </c>
      <c r="L49" s="208">
        <f t="shared" si="25"/>
        <v>0</v>
      </c>
      <c r="M49" s="208">
        <f t="shared" si="25"/>
        <v>0</v>
      </c>
      <c r="N49" s="208">
        <f t="shared" si="25"/>
        <v>0</v>
      </c>
      <c r="O49" s="208">
        <f t="shared" si="25"/>
        <v>0</v>
      </c>
      <c r="P49" s="208">
        <f t="shared" si="25"/>
        <v>0</v>
      </c>
      <c r="Q49" s="209">
        <f t="shared" si="25"/>
        <v>0</v>
      </c>
      <c r="R49" s="210" t="str">
        <f ca="1">_xlfn.IFERROR(Q48/R19*360,"-       ")</f>
        <v xml:space="preserve">-       </v>
      </c>
      <c r="S49" s="126"/>
      <c r="V49" s="211"/>
    </row>
    <row r="50" spans="2:22" s="39" customFormat="1" ht="17.25" customHeight="1">
      <c r="B50" s="79">
        <f>B49+1</f>
        <v>29</v>
      </c>
      <c r="C50" s="80" t="s">
        <v>76</v>
      </c>
      <c r="D50" s="80"/>
      <c r="E50" s="81"/>
      <c r="F50" s="81">
        <f>E48-F48</f>
        <v>0</v>
      </c>
      <c r="G50" s="81">
        <f aca="true" t="shared" si="26" ref="G50:Q50">F48-G48</f>
        <v>0</v>
      </c>
      <c r="H50" s="81">
        <f t="shared" si="26"/>
        <v>0</v>
      </c>
      <c r="I50" s="81">
        <f t="shared" si="26"/>
        <v>0</v>
      </c>
      <c r="J50" s="81">
        <f t="shared" si="26"/>
        <v>0</v>
      </c>
      <c r="K50" s="81">
        <f t="shared" si="26"/>
        <v>0</v>
      </c>
      <c r="L50" s="81">
        <f t="shared" si="26"/>
        <v>0</v>
      </c>
      <c r="M50" s="81">
        <f t="shared" si="26"/>
        <v>0</v>
      </c>
      <c r="N50" s="81">
        <f t="shared" si="26"/>
        <v>0</v>
      </c>
      <c r="O50" s="81">
        <f t="shared" si="26"/>
        <v>0</v>
      </c>
      <c r="P50" s="81">
        <f t="shared" si="26"/>
        <v>0</v>
      </c>
      <c r="Q50" s="81">
        <f t="shared" si="26"/>
        <v>0</v>
      </c>
      <c r="R50" s="81">
        <f>SUM(F50:Q50)</f>
        <v>0</v>
      </c>
      <c r="S50" s="85"/>
      <c r="V50" s="120"/>
    </row>
    <row r="51" spans="2:22" s="43" customFormat="1" ht="15" customHeight="1">
      <c r="B51" s="112">
        <f aca="true" t="shared" si="27" ref="B51:B52">B50+1</f>
        <v>30</v>
      </c>
      <c r="C51" s="43" t="str">
        <f>Jahreswerte!C35</f>
        <v>Debitoren</v>
      </c>
      <c r="E51" s="134">
        <f>Jahreswerte!D35</f>
        <v>0</v>
      </c>
      <c r="F51" s="168">
        <f>F52*SUM($F$15:F15)/(30*F10)</f>
        <v>0</v>
      </c>
      <c r="G51" s="134">
        <f>G52*SUM($F$15:G15)/(30*G10)</f>
        <v>0</v>
      </c>
      <c r="H51" s="134">
        <f>H52*SUM($F$15:H15)/(30*H10)</f>
        <v>0</v>
      </c>
      <c r="I51" s="134">
        <f>I52*SUM($F$15:I15)/(30*I10)</f>
        <v>0</v>
      </c>
      <c r="J51" s="134">
        <f>J52*SUM($F$15:J15)/(30*J10)</f>
        <v>0</v>
      </c>
      <c r="K51" s="134">
        <f>K52*SUM($F$15:K15)/(30*K10)</f>
        <v>0</v>
      </c>
      <c r="L51" s="134">
        <f>L52*SUM($F$15:L15)/(30*L10)</f>
        <v>0</v>
      </c>
      <c r="M51" s="134">
        <f>M52*SUM($F$15:M15)/(30*M10)</f>
        <v>0</v>
      </c>
      <c r="N51" s="134">
        <f>N52*SUM($F$15:N15)/(30*N10)</f>
        <v>0</v>
      </c>
      <c r="O51" s="134">
        <f>O52*SUM($F$15:O15)/(30*O10)</f>
        <v>0</v>
      </c>
      <c r="P51" s="134">
        <f>P52*SUM($F$15:P15)/(30*P10)</f>
        <v>0</v>
      </c>
      <c r="Q51" s="171">
        <f>Q52*SUM($F$15:Q15)/(30*Q10)</f>
        <v>0</v>
      </c>
      <c r="R51" s="113">
        <f>Q51</f>
        <v>0</v>
      </c>
      <c r="S51" s="74"/>
      <c r="V51" s="121"/>
    </row>
    <row r="52" spans="2:22" s="205" customFormat="1" ht="15" customHeight="1">
      <c r="B52" s="125">
        <f t="shared" si="27"/>
        <v>31</v>
      </c>
      <c r="C52" s="205" t="str">
        <f>Jahreswerte!C45</f>
        <v>Debitorenlaufzeit</v>
      </c>
      <c r="E52" s="206">
        <f>Jahreswerte!D45</f>
        <v>0</v>
      </c>
      <c r="F52" s="207">
        <f>E52</f>
        <v>0</v>
      </c>
      <c r="G52" s="208">
        <f aca="true" t="shared" si="28" ref="G52:Q52">F52</f>
        <v>0</v>
      </c>
      <c r="H52" s="208">
        <f t="shared" si="28"/>
        <v>0</v>
      </c>
      <c r="I52" s="208">
        <f t="shared" si="28"/>
        <v>0</v>
      </c>
      <c r="J52" s="208">
        <f t="shared" si="28"/>
        <v>0</v>
      </c>
      <c r="K52" s="208">
        <f t="shared" si="28"/>
        <v>0</v>
      </c>
      <c r="L52" s="208">
        <f t="shared" si="28"/>
        <v>0</v>
      </c>
      <c r="M52" s="208">
        <f t="shared" si="28"/>
        <v>0</v>
      </c>
      <c r="N52" s="208">
        <f t="shared" si="28"/>
        <v>0</v>
      </c>
      <c r="O52" s="208">
        <f t="shared" si="28"/>
        <v>0</v>
      </c>
      <c r="P52" s="208">
        <f t="shared" si="28"/>
        <v>0</v>
      </c>
      <c r="Q52" s="209">
        <f t="shared" si="28"/>
        <v>0</v>
      </c>
      <c r="R52" s="210"/>
      <c r="S52" s="126"/>
      <c r="V52" s="211"/>
    </row>
    <row r="53" spans="2:22" s="39" customFormat="1" ht="17.25" customHeight="1">
      <c r="B53" s="79">
        <f>B52+1</f>
        <v>32</v>
      </c>
      <c r="C53" s="80" t="str">
        <f>"Veränderungen "&amp;C51</f>
        <v>Veränderungen Debitoren</v>
      </c>
      <c r="D53" s="80"/>
      <c r="E53" s="81"/>
      <c r="F53" s="81">
        <f>E51-F51</f>
        <v>0</v>
      </c>
      <c r="G53" s="81">
        <f aca="true" t="shared" si="29" ref="G53:Q53">F51-G51</f>
        <v>0</v>
      </c>
      <c r="H53" s="81">
        <f t="shared" si="29"/>
        <v>0</v>
      </c>
      <c r="I53" s="81">
        <f t="shared" si="29"/>
        <v>0</v>
      </c>
      <c r="J53" s="81">
        <f t="shared" si="29"/>
        <v>0</v>
      </c>
      <c r="K53" s="81">
        <f t="shared" si="29"/>
        <v>0</v>
      </c>
      <c r="L53" s="81">
        <f t="shared" si="29"/>
        <v>0</v>
      </c>
      <c r="M53" s="81">
        <f t="shared" si="29"/>
        <v>0</v>
      </c>
      <c r="N53" s="81">
        <f t="shared" si="29"/>
        <v>0</v>
      </c>
      <c r="O53" s="81">
        <f t="shared" si="29"/>
        <v>0</v>
      </c>
      <c r="P53" s="81">
        <f t="shared" si="29"/>
        <v>0</v>
      </c>
      <c r="Q53" s="81">
        <f t="shared" si="29"/>
        <v>0</v>
      </c>
      <c r="R53" s="81">
        <f>SUM(F53:Q53)</f>
        <v>0</v>
      </c>
      <c r="S53" s="85"/>
      <c r="V53" s="120"/>
    </row>
    <row r="54" spans="2:22" s="43" customFormat="1" ht="15" customHeight="1">
      <c r="B54" s="112">
        <f aca="true" t="shared" si="30" ref="B54">B53+1</f>
        <v>33</v>
      </c>
      <c r="C54" s="43" t="str">
        <f>Jahreswerte!F33</f>
        <v>Erh. Anzahlungen</v>
      </c>
      <c r="E54" s="134">
        <f>Jahreswerte!G33</f>
        <v>0</v>
      </c>
      <c r="F54" s="166">
        <f>E54</f>
        <v>0</v>
      </c>
      <c r="G54" s="111">
        <f aca="true" t="shared" si="31" ref="G54:Q54">F54</f>
        <v>0</v>
      </c>
      <c r="H54" s="111">
        <f t="shared" si="31"/>
        <v>0</v>
      </c>
      <c r="I54" s="111">
        <f t="shared" si="31"/>
        <v>0</v>
      </c>
      <c r="J54" s="111">
        <f t="shared" si="31"/>
        <v>0</v>
      </c>
      <c r="K54" s="111">
        <f t="shared" si="31"/>
        <v>0</v>
      </c>
      <c r="L54" s="111">
        <f t="shared" si="31"/>
        <v>0</v>
      </c>
      <c r="M54" s="111">
        <f t="shared" si="31"/>
        <v>0</v>
      </c>
      <c r="N54" s="111">
        <f t="shared" si="31"/>
        <v>0</v>
      </c>
      <c r="O54" s="111">
        <f t="shared" si="31"/>
        <v>0</v>
      </c>
      <c r="P54" s="111">
        <f t="shared" si="31"/>
        <v>0</v>
      </c>
      <c r="Q54" s="173">
        <f t="shared" si="31"/>
        <v>0</v>
      </c>
      <c r="R54" s="113">
        <f>Q54</f>
        <v>0</v>
      </c>
      <c r="S54" s="74"/>
      <c r="V54" s="121"/>
    </row>
    <row r="55" spans="2:22" s="212" customFormat="1" ht="12.75" customHeight="1">
      <c r="B55" s="139">
        <f>B53+1</f>
        <v>33</v>
      </c>
      <c r="C55" s="212" t="str">
        <f>Jahreswerte!F42</f>
        <v>AZ.-Unterlegung UE/FE</v>
      </c>
      <c r="E55" s="213">
        <f>Jahreswerte!G42</f>
        <v>0</v>
      </c>
      <c r="F55" s="291" t="str">
        <f>IF(ISERROR(F54/F46%),"-       ",F54/F46%)</f>
        <v xml:space="preserve">-       </v>
      </c>
      <c r="G55" s="292" t="str">
        <f aca="true" t="shared" si="32" ref="G55:Q55">IF(ISERROR(G54/G46%),"-       ",G54/G46%)</f>
        <v xml:space="preserve">-       </v>
      </c>
      <c r="H55" s="292" t="str">
        <f t="shared" si="32"/>
        <v xml:space="preserve">-       </v>
      </c>
      <c r="I55" s="292" t="str">
        <f t="shared" si="32"/>
        <v xml:space="preserve">-       </v>
      </c>
      <c r="J55" s="292" t="str">
        <f t="shared" si="32"/>
        <v xml:space="preserve">-       </v>
      </c>
      <c r="K55" s="292" t="str">
        <f t="shared" si="32"/>
        <v xml:space="preserve">-       </v>
      </c>
      <c r="L55" s="292" t="str">
        <f t="shared" si="32"/>
        <v xml:space="preserve">-       </v>
      </c>
      <c r="M55" s="292" t="str">
        <f t="shared" si="32"/>
        <v xml:space="preserve">-       </v>
      </c>
      <c r="N55" s="292" t="str">
        <f t="shared" si="32"/>
        <v xml:space="preserve">-       </v>
      </c>
      <c r="O55" s="292" t="str">
        <f t="shared" si="32"/>
        <v xml:space="preserve">-       </v>
      </c>
      <c r="P55" s="292" t="str">
        <f t="shared" si="32"/>
        <v xml:space="preserve">-       </v>
      </c>
      <c r="Q55" s="293" t="str">
        <f t="shared" si="32"/>
        <v xml:space="preserve">-       </v>
      </c>
      <c r="R55" s="214"/>
      <c r="S55" s="140"/>
      <c r="V55" s="215"/>
    </row>
    <row r="56" spans="2:22" s="205" customFormat="1" ht="15" customHeight="1">
      <c r="B56" s="125">
        <f>B54+1</f>
        <v>34</v>
      </c>
      <c r="C56" s="205" t="str">
        <f>Jahreswerte!F43</f>
        <v>Vorleistungsdauer</v>
      </c>
      <c r="E56" s="206">
        <f>Jahreswerte!G43</f>
        <v>0</v>
      </c>
      <c r="F56" s="294" t="str">
        <f>IF(ISERROR((F46-F54)/SUM($F$18:F18)*30*F10),"-       ",(F46-F54)/SUM($F$18:F18)*30*F10)</f>
        <v xml:space="preserve">-       </v>
      </c>
      <c r="G56" s="295" t="str">
        <f>IF(ISERROR((G46-G54)/SUM($F$18:G18)*30*G10),"-       ",(G46-G54)/SUM($F$18:G18)*30*G10)</f>
        <v xml:space="preserve">-       </v>
      </c>
      <c r="H56" s="295" t="str">
        <f>IF(ISERROR((H46-H54)/SUM($F$18:H18)*30*H10),"-       ",(H46-H54)/SUM($F$18:H18)*30*H10)</f>
        <v xml:space="preserve">-       </v>
      </c>
      <c r="I56" s="295" t="str">
        <f>IF(ISERROR((I46-I54)/SUM($F$18:I18)*30*I10),"-       ",(I46-I54)/SUM($F$18:I18)*30*I10)</f>
        <v xml:space="preserve">-       </v>
      </c>
      <c r="J56" s="295" t="str">
        <f>IF(ISERROR((J46-J54)/SUM($F$18:J18)*30*J10),"-       ",(J46-J54)/SUM($F$18:J18)*30*J10)</f>
        <v xml:space="preserve">-       </v>
      </c>
      <c r="K56" s="295" t="str">
        <f>IF(ISERROR((K46-K54)/SUM($F$18:K18)*30*K10),"-       ",(K46-K54)/SUM($F$18:K18)*30*K10)</f>
        <v xml:space="preserve">-       </v>
      </c>
      <c r="L56" s="295" t="str">
        <f>IF(ISERROR((L46-L54)/SUM($F$18:L18)*30*L10),"-       ",(L46-L54)/SUM($F$18:L18)*30*L10)</f>
        <v xml:space="preserve">-       </v>
      </c>
      <c r="M56" s="295" t="str">
        <f>IF(ISERROR((M46-M54)/SUM($F$18:M18)*30*M10),"-       ",(M46-M54)/SUM($F$18:M18)*30*M10)</f>
        <v xml:space="preserve">-       </v>
      </c>
      <c r="N56" s="295" t="str">
        <f>IF(ISERROR((N46-N54)/SUM($F$18:N18)*30*N10),"-       ",(N46-N54)/SUM($F$18:N18)*30*N10)</f>
        <v xml:space="preserve">-       </v>
      </c>
      <c r="O56" s="295" t="str">
        <f>IF(ISERROR((O46-O54)/SUM($F$18:O18)*30*O10),"-       ",(O46-O54)/SUM($F$18:O18)*30*O10)</f>
        <v xml:space="preserve">-       </v>
      </c>
      <c r="P56" s="295" t="str">
        <f>IF(ISERROR((P46-P54)/SUM($F$18:P18)*30*P10),"-       ",(P46-P54)/SUM($F$18:P18)*30*P10)</f>
        <v xml:space="preserve">-       </v>
      </c>
      <c r="Q56" s="296" t="str">
        <f>IF(ISERROR((Q46-Q54)/SUM($F$18:Q18)*30*Q10),"-       ",(Q46-Q54)/SUM($F$18:Q18)*30*Q10)</f>
        <v xml:space="preserve">-       </v>
      </c>
      <c r="R56" s="210"/>
      <c r="S56" s="126"/>
      <c r="V56" s="211"/>
    </row>
    <row r="57" spans="2:22" s="39" customFormat="1" ht="17.25" customHeight="1">
      <c r="B57" s="79">
        <f>B56+1</f>
        <v>35</v>
      </c>
      <c r="C57" s="80" t="str">
        <f>"Veränderungen "&amp;C54</f>
        <v>Veränderungen Erh. Anzahlungen</v>
      </c>
      <c r="D57" s="80"/>
      <c r="E57" s="81"/>
      <c r="F57" s="81">
        <f>F54-E54</f>
        <v>0</v>
      </c>
      <c r="G57" s="81">
        <f aca="true" t="shared" si="33" ref="G57:Q57">G54-F54</f>
        <v>0</v>
      </c>
      <c r="H57" s="81">
        <f t="shared" si="33"/>
        <v>0</v>
      </c>
      <c r="I57" s="81">
        <f t="shared" si="33"/>
        <v>0</v>
      </c>
      <c r="J57" s="81">
        <f t="shared" si="33"/>
        <v>0</v>
      </c>
      <c r="K57" s="81">
        <f t="shared" si="33"/>
        <v>0</v>
      </c>
      <c r="L57" s="81">
        <f t="shared" si="33"/>
        <v>0</v>
      </c>
      <c r="M57" s="81">
        <f t="shared" si="33"/>
        <v>0</v>
      </c>
      <c r="N57" s="81">
        <f t="shared" si="33"/>
        <v>0</v>
      </c>
      <c r="O57" s="81">
        <f t="shared" si="33"/>
        <v>0</v>
      </c>
      <c r="P57" s="81">
        <f t="shared" si="33"/>
        <v>0</v>
      </c>
      <c r="Q57" s="81">
        <f t="shared" si="33"/>
        <v>0</v>
      </c>
      <c r="R57" s="81">
        <f>SUM(F57:Q57)</f>
        <v>0</v>
      </c>
      <c r="S57" s="85"/>
      <c r="V57" s="120"/>
    </row>
    <row r="58" spans="2:22" s="43" customFormat="1" ht="15" customHeight="1">
      <c r="B58" s="112">
        <f aca="true" t="shared" si="34" ref="B58:B59">B57+1</f>
        <v>36</v>
      </c>
      <c r="C58" s="43" t="str">
        <f>Jahreswerte!F34</f>
        <v>Kreditoren</v>
      </c>
      <c r="E58" s="134">
        <f>Jahreswerte!G34</f>
        <v>0</v>
      </c>
      <c r="F58" s="168">
        <f>F59*SUM($F$19:F19)/(30*F10)</f>
        <v>0</v>
      </c>
      <c r="G58" s="134">
        <f>G59*SUM($F$19:G19)/(30*G10)</f>
        <v>0</v>
      </c>
      <c r="H58" s="134">
        <f>H59*SUM($F$19:H19)/(30*H10)</f>
        <v>0</v>
      </c>
      <c r="I58" s="134">
        <f>I59*SUM($F$19:I19)/(30*I10)</f>
        <v>0</v>
      </c>
      <c r="J58" s="134">
        <f>J59*SUM($F$19:J19)/(30*J10)</f>
        <v>0</v>
      </c>
      <c r="K58" s="134">
        <f>K59*SUM($F$19:K19)/(30*K10)</f>
        <v>0</v>
      </c>
      <c r="L58" s="134">
        <f>L59*SUM($F$19:L19)/(30*L10)</f>
        <v>0</v>
      </c>
      <c r="M58" s="134">
        <f>M59*SUM($F$19:M19)/(30*M10)</f>
        <v>0</v>
      </c>
      <c r="N58" s="134">
        <f>N59*SUM($F$19:N19)/(30*N10)</f>
        <v>0</v>
      </c>
      <c r="O58" s="134">
        <f>O59*SUM($F$19:O19)/(30*O10)</f>
        <v>0</v>
      </c>
      <c r="P58" s="134">
        <f>P59*SUM($F$19:P19)/(30*P10)</f>
        <v>0</v>
      </c>
      <c r="Q58" s="171">
        <f>Q59*SUM($F$19:Q19)/(30*Q10)</f>
        <v>0</v>
      </c>
      <c r="R58" s="113">
        <f>Q58</f>
        <v>0</v>
      </c>
      <c r="S58" s="74"/>
      <c r="V58" s="121"/>
    </row>
    <row r="59" spans="2:22" s="205" customFormat="1" ht="15" customHeight="1">
      <c r="B59" s="125">
        <f t="shared" si="34"/>
        <v>37</v>
      </c>
      <c r="C59" s="205" t="str">
        <f>Jahreswerte!F44</f>
        <v>Kreditorenlaufzeit</v>
      </c>
      <c r="E59" s="206">
        <f>Jahreswerte!G44</f>
        <v>0</v>
      </c>
      <c r="F59" s="207">
        <f>E59</f>
        <v>0</v>
      </c>
      <c r="G59" s="208">
        <f aca="true" t="shared" si="35" ref="G59:Q59">F59</f>
        <v>0</v>
      </c>
      <c r="H59" s="208">
        <f t="shared" si="35"/>
        <v>0</v>
      </c>
      <c r="I59" s="208">
        <f t="shared" si="35"/>
        <v>0</v>
      </c>
      <c r="J59" s="208">
        <f t="shared" si="35"/>
        <v>0</v>
      </c>
      <c r="K59" s="208">
        <f t="shared" si="35"/>
        <v>0</v>
      </c>
      <c r="L59" s="208">
        <f t="shared" si="35"/>
        <v>0</v>
      </c>
      <c r="M59" s="208">
        <f t="shared" si="35"/>
        <v>0</v>
      </c>
      <c r="N59" s="208">
        <f t="shared" si="35"/>
        <v>0</v>
      </c>
      <c r="O59" s="208">
        <f t="shared" si="35"/>
        <v>0</v>
      </c>
      <c r="P59" s="208">
        <f t="shared" si="35"/>
        <v>0</v>
      </c>
      <c r="Q59" s="209">
        <f t="shared" si="35"/>
        <v>0</v>
      </c>
      <c r="R59" s="210"/>
      <c r="S59" s="126"/>
      <c r="V59" s="211"/>
    </row>
    <row r="60" spans="2:22" s="39" customFormat="1" ht="17.25" customHeight="1">
      <c r="B60" s="79">
        <f>B59+1</f>
        <v>38</v>
      </c>
      <c r="C60" s="80" t="str">
        <f>"Veränderungen "&amp;C58</f>
        <v>Veränderungen Kreditoren</v>
      </c>
      <c r="D60" s="80"/>
      <c r="E60" s="81"/>
      <c r="F60" s="81">
        <f>F58-E58</f>
        <v>0</v>
      </c>
      <c r="G60" s="81">
        <f aca="true" t="shared" si="36" ref="G60:Q60">G58-F58</f>
        <v>0</v>
      </c>
      <c r="H60" s="81">
        <f t="shared" si="36"/>
        <v>0</v>
      </c>
      <c r="I60" s="81">
        <f t="shared" si="36"/>
        <v>0</v>
      </c>
      <c r="J60" s="81">
        <f t="shared" si="36"/>
        <v>0</v>
      </c>
      <c r="K60" s="81">
        <f t="shared" si="36"/>
        <v>0</v>
      </c>
      <c r="L60" s="81">
        <f t="shared" si="36"/>
        <v>0</v>
      </c>
      <c r="M60" s="81">
        <f t="shared" si="36"/>
        <v>0</v>
      </c>
      <c r="N60" s="81">
        <f t="shared" si="36"/>
        <v>0</v>
      </c>
      <c r="O60" s="81">
        <f t="shared" si="36"/>
        <v>0</v>
      </c>
      <c r="P60" s="81">
        <f t="shared" si="36"/>
        <v>0</v>
      </c>
      <c r="Q60" s="81">
        <f t="shared" si="36"/>
        <v>0</v>
      </c>
      <c r="R60" s="81">
        <f>SUM(F60:Q60)</f>
        <v>0</v>
      </c>
      <c r="S60" s="85"/>
      <c r="V60" s="120"/>
    </row>
    <row r="61" ht="5.25" customHeight="1"/>
    <row r="62" spans="2:22" s="39" customFormat="1" ht="20.1" customHeight="1">
      <c r="B62" s="396" t="str">
        <f>"Entwicklung der Unternehmensliquidität "&amp;IF(ISNUMBER(Jahreswerte!M6),Jahreswerte!M6,"")&amp;IF(ISNUMBER(Jahreswerte!P6)," / "&amp;Jahreswerte!P6,"")</f>
        <v>Entwicklung der Unternehmensliquidität 2020</v>
      </c>
      <c r="C62" s="397"/>
      <c r="D62" s="397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132"/>
      <c r="S62" s="133"/>
      <c r="V62" s="120"/>
    </row>
    <row r="63" spans="2:23" s="5" customFormat="1" ht="12.75" customHeight="1">
      <c r="B63" s="61"/>
      <c r="E63" s="124"/>
      <c r="F63" s="153">
        <f>F13</f>
        <v>43831</v>
      </c>
      <c r="G63" s="154">
        <f aca="true" t="shared" si="37" ref="G63:Q63">G13</f>
        <v>43862</v>
      </c>
      <c r="H63" s="154">
        <f t="shared" si="37"/>
        <v>43891</v>
      </c>
      <c r="I63" s="154">
        <f t="shared" si="37"/>
        <v>43922</v>
      </c>
      <c r="J63" s="154">
        <f t="shared" si="37"/>
        <v>43952</v>
      </c>
      <c r="K63" s="154">
        <f t="shared" si="37"/>
        <v>43983</v>
      </c>
      <c r="L63" s="154">
        <f t="shared" si="37"/>
        <v>44013</v>
      </c>
      <c r="M63" s="154">
        <f t="shared" si="37"/>
        <v>44044</v>
      </c>
      <c r="N63" s="154">
        <f t="shared" si="37"/>
        <v>44075</v>
      </c>
      <c r="O63" s="154">
        <f t="shared" si="37"/>
        <v>44105</v>
      </c>
      <c r="P63" s="154">
        <f t="shared" si="37"/>
        <v>44136</v>
      </c>
      <c r="Q63" s="155">
        <f t="shared" si="37"/>
        <v>44166</v>
      </c>
      <c r="R63" s="398">
        <f ca="1">R33</f>
        <v>44196</v>
      </c>
      <c r="S63" s="399"/>
      <c r="V63" s="121"/>
      <c r="W63" s="123"/>
    </row>
    <row r="64" spans="2:23" s="192" customFormat="1" ht="12.75" customHeight="1">
      <c r="B64" s="194"/>
      <c r="C64" s="195"/>
      <c r="D64" s="195"/>
      <c r="E64" s="196"/>
      <c r="F64" s="197" t="s">
        <v>8</v>
      </c>
      <c r="G64" s="196" t="str">
        <f>F64</f>
        <v>T€</v>
      </c>
      <c r="H64" s="196" t="str">
        <f aca="true" t="shared" si="38" ref="H64:Q64">G64</f>
        <v>T€</v>
      </c>
      <c r="I64" s="196" t="str">
        <f t="shared" si="38"/>
        <v>T€</v>
      </c>
      <c r="J64" s="196" t="str">
        <f t="shared" si="38"/>
        <v>T€</v>
      </c>
      <c r="K64" s="196" t="str">
        <f t="shared" si="38"/>
        <v>T€</v>
      </c>
      <c r="L64" s="196" t="str">
        <f t="shared" si="38"/>
        <v>T€</v>
      </c>
      <c r="M64" s="196" t="str">
        <f t="shared" si="38"/>
        <v>T€</v>
      </c>
      <c r="N64" s="196" t="str">
        <f t="shared" si="38"/>
        <v>T€</v>
      </c>
      <c r="O64" s="196" t="str">
        <f t="shared" si="38"/>
        <v>T€</v>
      </c>
      <c r="P64" s="196" t="str">
        <f t="shared" si="38"/>
        <v>T€</v>
      </c>
      <c r="Q64" s="198" t="str">
        <f t="shared" si="38"/>
        <v>T€</v>
      </c>
      <c r="R64" s="199" t="s">
        <v>8</v>
      </c>
      <c r="S64" s="200"/>
      <c r="V64" s="122"/>
      <c r="W64" s="193"/>
    </row>
    <row r="65" spans="2:19" ht="15" customHeight="1">
      <c r="B65" s="63">
        <f>B60+1</f>
        <v>39</v>
      </c>
      <c r="C65" s="30"/>
      <c r="D65" s="1" t="str">
        <f>C30</f>
        <v>Unternehmensergebnis</v>
      </c>
      <c r="E65" s="138"/>
      <c r="F65" s="174">
        <f ca="1">F30</f>
        <v>0</v>
      </c>
      <c r="G65" s="138">
        <f aca="true" t="shared" si="39" ref="G65:Q65">G30</f>
        <v>0</v>
      </c>
      <c r="H65" s="138">
        <f ca="1" t="shared" si="39"/>
        <v>0</v>
      </c>
      <c r="I65" s="138">
        <f ca="1" t="shared" si="39"/>
        <v>0</v>
      </c>
      <c r="J65" s="138">
        <f ca="1" t="shared" si="39"/>
        <v>0</v>
      </c>
      <c r="K65" s="138">
        <f ca="1" t="shared" si="39"/>
        <v>0</v>
      </c>
      <c r="L65" s="138">
        <f ca="1" t="shared" si="39"/>
        <v>0</v>
      </c>
      <c r="M65" s="138">
        <f ca="1" t="shared" si="39"/>
        <v>0</v>
      </c>
      <c r="N65" s="138">
        <f ca="1" t="shared" si="39"/>
        <v>0</v>
      </c>
      <c r="O65" s="138">
        <f ca="1" t="shared" si="39"/>
        <v>0</v>
      </c>
      <c r="P65" s="138">
        <f ca="1" t="shared" si="39"/>
        <v>0</v>
      </c>
      <c r="Q65" s="175">
        <f ca="1" t="shared" si="39"/>
        <v>0</v>
      </c>
      <c r="R65" s="113">
        <f ca="1">SUM(OFFSET(E65,,,,$M$2+1))</f>
        <v>0</v>
      </c>
      <c r="S65" s="64"/>
    </row>
    <row r="66" spans="2:22" s="43" customFormat="1" ht="12.75" customHeight="1">
      <c r="B66" s="112">
        <f>B65+1</f>
        <v>40</v>
      </c>
      <c r="C66" s="30" t="s">
        <v>42</v>
      </c>
      <c r="D66" s="43" t="str">
        <f>C24</f>
        <v>Abschreibungen</v>
      </c>
      <c r="E66" s="141"/>
      <c r="F66" s="176">
        <f>F24</f>
        <v>0</v>
      </c>
      <c r="G66" s="141">
        <f aca="true" t="shared" si="40" ref="G66:Q66">G24</f>
        <v>0</v>
      </c>
      <c r="H66" s="141">
        <f t="shared" si="40"/>
        <v>0</v>
      </c>
      <c r="I66" s="141">
        <f t="shared" si="40"/>
        <v>0</v>
      </c>
      <c r="J66" s="141">
        <f t="shared" si="40"/>
        <v>0</v>
      </c>
      <c r="K66" s="141">
        <f t="shared" si="40"/>
        <v>0</v>
      </c>
      <c r="L66" s="141">
        <f t="shared" si="40"/>
        <v>0</v>
      </c>
      <c r="M66" s="141">
        <f t="shared" si="40"/>
        <v>0</v>
      </c>
      <c r="N66" s="141">
        <f t="shared" si="40"/>
        <v>0</v>
      </c>
      <c r="O66" s="141">
        <f t="shared" si="40"/>
        <v>0</v>
      </c>
      <c r="P66" s="141">
        <f t="shared" si="40"/>
        <v>0</v>
      </c>
      <c r="Q66" s="177">
        <f t="shared" si="40"/>
        <v>0</v>
      </c>
      <c r="R66" s="113">
        <f aca="true" ca="1" t="shared" si="41" ref="R66:R67">SUM(OFFSET(E66,,,,$M$2+1))</f>
        <v>0</v>
      </c>
      <c r="S66" s="74"/>
      <c r="V66" s="121"/>
    </row>
    <row r="67" spans="2:22" s="43" customFormat="1" ht="12.75" customHeight="1">
      <c r="B67" s="112">
        <f>B66+1</f>
        <v>41</v>
      </c>
      <c r="C67" s="30" t="s">
        <v>42</v>
      </c>
      <c r="D67" s="43" t="s">
        <v>74</v>
      </c>
      <c r="E67" s="134"/>
      <c r="F67" s="168">
        <f>-F39-F40+F41+F45+F47+F50+F53+F57+F60</f>
        <v>0</v>
      </c>
      <c r="G67" s="134">
        <f aca="true" t="shared" si="42" ref="G67:Q67">-G39-G40+G41+G45+G47+G50+G53+G57+G60</f>
        <v>0</v>
      </c>
      <c r="H67" s="134">
        <f t="shared" si="42"/>
        <v>0</v>
      </c>
      <c r="I67" s="134">
        <f t="shared" si="42"/>
        <v>0</v>
      </c>
      <c r="J67" s="134">
        <f t="shared" si="42"/>
        <v>0</v>
      </c>
      <c r="K67" s="134">
        <f t="shared" si="42"/>
        <v>0</v>
      </c>
      <c r="L67" s="134">
        <f t="shared" si="42"/>
        <v>0</v>
      </c>
      <c r="M67" s="134">
        <f t="shared" si="42"/>
        <v>0</v>
      </c>
      <c r="N67" s="134">
        <f t="shared" si="42"/>
        <v>0</v>
      </c>
      <c r="O67" s="134">
        <f t="shared" si="42"/>
        <v>0</v>
      </c>
      <c r="P67" s="134">
        <f t="shared" si="42"/>
        <v>0</v>
      </c>
      <c r="Q67" s="178">
        <f t="shared" si="42"/>
        <v>0</v>
      </c>
      <c r="R67" s="113">
        <f ca="1" t="shared" si="41"/>
        <v>0</v>
      </c>
      <c r="S67" s="74"/>
      <c r="V67" s="121"/>
    </row>
    <row r="68" spans="2:22" s="216" customFormat="1" ht="12.75" customHeight="1">
      <c r="B68" s="112">
        <f>B67+1</f>
        <v>42</v>
      </c>
      <c r="C68" s="30" t="s">
        <v>42</v>
      </c>
      <c r="D68" s="216" t="s">
        <v>84</v>
      </c>
      <c r="E68" s="134"/>
      <c r="F68" s="168">
        <f>-F17-F35</f>
        <v>0</v>
      </c>
      <c r="G68" s="134">
        <f aca="true" t="shared" si="43" ref="G68:Q68">-G17-G35</f>
        <v>0</v>
      </c>
      <c r="H68" s="134">
        <f t="shared" si="43"/>
        <v>0</v>
      </c>
      <c r="I68" s="134">
        <f t="shared" si="43"/>
        <v>0</v>
      </c>
      <c r="J68" s="134">
        <f t="shared" si="43"/>
        <v>0</v>
      </c>
      <c r="K68" s="134">
        <f t="shared" si="43"/>
        <v>0</v>
      </c>
      <c r="L68" s="134">
        <f t="shared" si="43"/>
        <v>0</v>
      </c>
      <c r="M68" s="134">
        <f t="shared" si="43"/>
        <v>0</v>
      </c>
      <c r="N68" s="134">
        <f t="shared" si="43"/>
        <v>0</v>
      </c>
      <c r="O68" s="134">
        <f t="shared" si="43"/>
        <v>0</v>
      </c>
      <c r="P68" s="134">
        <f t="shared" si="43"/>
        <v>0</v>
      </c>
      <c r="Q68" s="178">
        <f t="shared" si="43"/>
        <v>0</v>
      </c>
      <c r="R68" s="113">
        <f aca="true" ca="1" t="shared" si="44" ref="R68">SUM(OFFSET(E68,,,,$M$2+1))</f>
        <v>0</v>
      </c>
      <c r="S68" s="74"/>
      <c r="V68" s="121"/>
    </row>
    <row r="69" spans="2:22" s="216" customFormat="1" ht="12.75" customHeight="1">
      <c r="B69" s="112">
        <f>B68+1</f>
        <v>43</v>
      </c>
      <c r="C69" s="30" t="s">
        <v>42</v>
      </c>
      <c r="D69" s="216" t="s">
        <v>85</v>
      </c>
      <c r="E69" s="134"/>
      <c r="F69" s="168">
        <f>F36</f>
        <v>0</v>
      </c>
      <c r="G69" s="134">
        <f aca="true" t="shared" si="45" ref="G69:Q69">G36</f>
        <v>0</v>
      </c>
      <c r="H69" s="134">
        <f t="shared" si="45"/>
        <v>0</v>
      </c>
      <c r="I69" s="134">
        <f t="shared" si="45"/>
        <v>0</v>
      </c>
      <c r="J69" s="134">
        <f t="shared" si="45"/>
        <v>0</v>
      </c>
      <c r="K69" s="134">
        <f t="shared" si="45"/>
        <v>0</v>
      </c>
      <c r="L69" s="134">
        <f t="shared" si="45"/>
        <v>0</v>
      </c>
      <c r="M69" s="134">
        <f t="shared" si="45"/>
        <v>0</v>
      </c>
      <c r="N69" s="134">
        <f t="shared" si="45"/>
        <v>0</v>
      </c>
      <c r="O69" s="134">
        <f t="shared" si="45"/>
        <v>0</v>
      </c>
      <c r="P69" s="134">
        <f t="shared" si="45"/>
        <v>0</v>
      </c>
      <c r="Q69" s="178">
        <f t="shared" si="45"/>
        <v>0</v>
      </c>
      <c r="R69" s="113">
        <f aca="true" ca="1" t="shared" si="46" ref="R69">SUM(OFFSET(E69,,,,$M$2+1))</f>
        <v>0</v>
      </c>
      <c r="S69" s="74"/>
      <c r="V69" s="121"/>
    </row>
    <row r="70" spans="2:22" s="93" customFormat="1" ht="15" customHeight="1">
      <c r="B70" s="94">
        <f>B67+1</f>
        <v>42</v>
      </c>
      <c r="C70" s="151" t="s">
        <v>42</v>
      </c>
      <c r="D70" s="93" t="s">
        <v>86</v>
      </c>
      <c r="E70" s="148"/>
      <c r="F70" s="179">
        <f>F37</f>
        <v>0</v>
      </c>
      <c r="G70" s="180">
        <f aca="true" t="shared" si="47" ref="G70:Q70">G37</f>
        <v>0</v>
      </c>
      <c r="H70" s="180">
        <f t="shared" si="47"/>
        <v>0</v>
      </c>
      <c r="I70" s="180">
        <f t="shared" si="47"/>
        <v>0</v>
      </c>
      <c r="J70" s="180">
        <f t="shared" si="47"/>
        <v>0</v>
      </c>
      <c r="K70" s="180">
        <f t="shared" si="47"/>
        <v>0</v>
      </c>
      <c r="L70" s="180">
        <f t="shared" si="47"/>
        <v>0</v>
      </c>
      <c r="M70" s="180">
        <f t="shared" si="47"/>
        <v>0</v>
      </c>
      <c r="N70" s="180">
        <f t="shared" si="47"/>
        <v>0</v>
      </c>
      <c r="O70" s="180">
        <f t="shared" si="47"/>
        <v>0</v>
      </c>
      <c r="P70" s="180">
        <f t="shared" si="47"/>
        <v>0</v>
      </c>
      <c r="Q70" s="181">
        <f t="shared" si="47"/>
        <v>0</v>
      </c>
      <c r="R70" s="100">
        <f aca="true" ca="1" t="shared" si="48" ref="R70:R71">SUM(OFFSET(E70,,,,$M$2+1))</f>
        <v>0</v>
      </c>
      <c r="S70" s="102"/>
      <c r="V70" s="122"/>
    </row>
    <row r="71" spans="2:22" s="39" customFormat="1" ht="17.25" customHeight="1">
      <c r="B71" s="217">
        <f>B70+1</f>
        <v>43</v>
      </c>
      <c r="C71" s="218" t="s">
        <v>7</v>
      </c>
      <c r="D71" s="219" t="s">
        <v>75</v>
      </c>
      <c r="E71" s="220"/>
      <c r="F71" s="220">
        <f ca="1">SUM(F65:F70)</f>
        <v>0</v>
      </c>
      <c r="G71" s="220">
        <f aca="true" t="shared" si="49" ref="G71:Q71">SUM(G65:G70)</f>
        <v>0</v>
      </c>
      <c r="H71" s="220">
        <f ca="1" t="shared" si="49"/>
        <v>0</v>
      </c>
      <c r="I71" s="220">
        <f ca="1" t="shared" si="49"/>
        <v>0</v>
      </c>
      <c r="J71" s="220">
        <f ca="1" t="shared" si="49"/>
        <v>0</v>
      </c>
      <c r="K71" s="220">
        <f ca="1" t="shared" si="49"/>
        <v>0</v>
      </c>
      <c r="L71" s="220">
        <f ca="1" t="shared" si="49"/>
        <v>0</v>
      </c>
      <c r="M71" s="220">
        <f ca="1" t="shared" si="49"/>
        <v>0</v>
      </c>
      <c r="N71" s="220">
        <f ca="1" t="shared" si="49"/>
        <v>0</v>
      </c>
      <c r="O71" s="220">
        <f ca="1" t="shared" si="49"/>
        <v>0</v>
      </c>
      <c r="P71" s="220">
        <f ca="1" t="shared" si="49"/>
        <v>0</v>
      </c>
      <c r="Q71" s="220">
        <f ca="1" t="shared" si="49"/>
        <v>0</v>
      </c>
      <c r="R71" s="220">
        <f ca="1" t="shared" si="48"/>
        <v>0</v>
      </c>
      <c r="S71" s="221"/>
      <c r="V71" s="120"/>
    </row>
    <row r="72" spans="2:22" s="142" customFormat="1" ht="6" customHeight="1">
      <c r="B72" s="143"/>
      <c r="C72" s="152"/>
      <c r="D72" s="144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6"/>
      <c r="V72" s="147"/>
    </row>
    <row r="73" spans="2:22" s="39" customFormat="1" ht="17.25" customHeight="1">
      <c r="B73" s="217">
        <f>B71+1</f>
        <v>44</v>
      </c>
      <c r="C73" s="218"/>
      <c r="D73" s="219" t="str">
        <f>Jahreswerte!F37</f>
        <v>kurzfr. Bankverb.</v>
      </c>
      <c r="E73" s="220">
        <f>Jahreswerte!G37</f>
        <v>0</v>
      </c>
      <c r="F73" s="220">
        <f ca="1">E73-F71</f>
        <v>0</v>
      </c>
      <c r="G73" s="220">
        <f aca="true" t="shared" si="50" ref="G73:Q73">F73-G71</f>
        <v>0</v>
      </c>
      <c r="H73" s="220">
        <f ca="1" t="shared" si="50"/>
        <v>0</v>
      </c>
      <c r="I73" s="220">
        <f ca="1" t="shared" si="50"/>
        <v>0</v>
      </c>
      <c r="J73" s="220">
        <f ca="1" t="shared" si="50"/>
        <v>0</v>
      </c>
      <c r="K73" s="220">
        <f ca="1" t="shared" si="50"/>
        <v>0</v>
      </c>
      <c r="L73" s="220">
        <f ca="1" t="shared" si="50"/>
        <v>0</v>
      </c>
      <c r="M73" s="220">
        <f ca="1" t="shared" si="50"/>
        <v>0</v>
      </c>
      <c r="N73" s="220">
        <f ca="1" t="shared" si="50"/>
        <v>0</v>
      </c>
      <c r="O73" s="220">
        <f ca="1" t="shared" si="50"/>
        <v>0</v>
      </c>
      <c r="P73" s="220">
        <f ca="1" t="shared" si="50"/>
        <v>0</v>
      </c>
      <c r="Q73" s="220">
        <f ca="1" t="shared" si="50"/>
        <v>0</v>
      </c>
      <c r="R73" s="220">
        <f ca="1">Q73</f>
        <v>0</v>
      </c>
      <c r="S73" s="221"/>
      <c r="V73" s="120"/>
    </row>
    <row r="74" spans="2:22" s="290" customFormat="1" ht="17.25" customHeight="1">
      <c r="B74" s="82">
        <f>B71+1</f>
        <v>44</v>
      </c>
      <c r="C74" s="297"/>
      <c r="D74" s="290" t="s">
        <v>145</v>
      </c>
      <c r="E74" s="298"/>
      <c r="F74" s="299"/>
      <c r="G74" s="300">
        <f>F74</f>
        <v>0</v>
      </c>
      <c r="H74" s="300">
        <f aca="true" t="shared" si="51" ref="H74:Q74">G74</f>
        <v>0</v>
      </c>
      <c r="I74" s="300">
        <f t="shared" si="51"/>
        <v>0</v>
      </c>
      <c r="J74" s="300">
        <f t="shared" si="51"/>
        <v>0</v>
      </c>
      <c r="K74" s="300">
        <f t="shared" si="51"/>
        <v>0</v>
      </c>
      <c r="L74" s="300">
        <f t="shared" si="51"/>
        <v>0</v>
      </c>
      <c r="M74" s="300">
        <f t="shared" si="51"/>
        <v>0</v>
      </c>
      <c r="N74" s="300">
        <f t="shared" si="51"/>
        <v>0</v>
      </c>
      <c r="O74" s="300">
        <f t="shared" si="51"/>
        <v>0</v>
      </c>
      <c r="P74" s="300">
        <f t="shared" si="51"/>
        <v>0</v>
      </c>
      <c r="Q74" s="301">
        <f t="shared" si="51"/>
        <v>0</v>
      </c>
      <c r="R74" s="90"/>
      <c r="S74" s="92"/>
      <c r="V74" s="120"/>
    </row>
    <row r="75" spans="2:22" s="290" customFormat="1" ht="17.25" customHeight="1">
      <c r="B75" s="217">
        <f>B74+1</f>
        <v>45</v>
      </c>
      <c r="C75" s="218"/>
      <c r="D75" s="289" t="s">
        <v>146</v>
      </c>
      <c r="E75" s="220"/>
      <c r="F75" s="220">
        <f ca="1">F74-F73</f>
        <v>0</v>
      </c>
      <c r="G75" s="220">
        <f aca="true" t="shared" si="52" ref="G75:Q75">G74-G73</f>
        <v>0</v>
      </c>
      <c r="H75" s="220">
        <f ca="1" t="shared" si="52"/>
        <v>0</v>
      </c>
      <c r="I75" s="220">
        <f ca="1" t="shared" si="52"/>
        <v>0</v>
      </c>
      <c r="J75" s="220">
        <f ca="1" t="shared" si="52"/>
        <v>0</v>
      </c>
      <c r="K75" s="220">
        <f ca="1" t="shared" si="52"/>
        <v>0</v>
      </c>
      <c r="L75" s="220">
        <f ca="1" t="shared" si="52"/>
        <v>0</v>
      </c>
      <c r="M75" s="220">
        <f ca="1" t="shared" si="52"/>
        <v>0</v>
      </c>
      <c r="N75" s="220">
        <f ca="1" t="shared" si="52"/>
        <v>0</v>
      </c>
      <c r="O75" s="220">
        <f ca="1" t="shared" si="52"/>
        <v>0</v>
      </c>
      <c r="P75" s="220">
        <f ca="1" t="shared" si="52"/>
        <v>0</v>
      </c>
      <c r="Q75" s="220">
        <f ca="1" t="shared" si="52"/>
        <v>0</v>
      </c>
      <c r="R75" s="220">
        <f ca="1">Q75</f>
        <v>0</v>
      </c>
      <c r="S75" s="221"/>
      <c r="V75" s="120"/>
    </row>
    <row r="76" ht="6" customHeight="1">
      <c r="E76" s="9"/>
    </row>
  </sheetData>
  <sheetProtection password="DD7A" sheet="1" objects="1" scenarios="1"/>
  <mergeCells count="11">
    <mergeCell ref="B62:Q62"/>
    <mergeCell ref="R63:S63"/>
    <mergeCell ref="M5:R5"/>
    <mergeCell ref="M6:R6"/>
    <mergeCell ref="F1:G1"/>
    <mergeCell ref="F2:G2"/>
    <mergeCell ref="B12:S12"/>
    <mergeCell ref="R33:S33"/>
    <mergeCell ref="B32:Q32"/>
    <mergeCell ref="R13:S13"/>
    <mergeCell ref="D5:E6"/>
  </mergeCells>
  <conditionalFormatting sqref="B18:S18 B21:S21 B23:S23 B27:S27 B30:S30 B38:S38 B42:S42 B45:S45 B47:S47 B50:S50 B53:S53 B57:S57 B60:S60 B71:S71 B4:S4 B73:S75 B7:S8 B5:C6 F5:S6">
    <cfRule type="expression" priority="74" dxfId="1" stopIfTrue="1">
      <formula>$F$1="grau"</formula>
    </cfRule>
  </conditionalFormatting>
  <conditionalFormatting sqref="A1:XFD4 A7:XFD1048576 A5:C6 F5:XFD6">
    <cfRule type="expression" priority="3" dxfId="0" stopIfTrue="1">
      <formula>AND($M$1="ja",CELL("schutz",A1)=0)</formula>
    </cfRule>
  </conditionalFormatting>
  <conditionalFormatting sqref="D5">
    <cfRule type="expression" priority="1" dxfId="1" stopIfTrue="1">
      <formula>$E$1="grau"</formula>
    </cfRule>
  </conditionalFormatting>
  <conditionalFormatting sqref="D5">
    <cfRule type="expression" priority="2" dxfId="0" stopIfTrue="1">
      <formula>AND($M$1="ja",CELL("schutz",D5)=0)</formula>
    </cfRule>
  </conditionalFormatting>
  <dataValidations count="5" disablePrompts="1">
    <dataValidation type="list" allowBlank="1" showInputMessage="1" showErrorMessage="1" sqref="E3:F3">
      <formula1>"grau,blau"</formula1>
    </dataValidation>
    <dataValidation type="list" allowBlank="1" showInputMessage="1" showErrorMessage="1" sqref="I3 M1">
      <formula1>"Ja,Nein"</formula1>
    </dataValidation>
    <dataValidation type="list" allowBlank="1" showInputMessage="1" showErrorMessage="1" sqref="F1">
      <formula1>"blau,grau"</formula1>
    </dataValidation>
    <dataValidation type="list" allowBlank="1" showInputMessage="1" showErrorMessage="1" error="Bitte wählen Sie eine gültige Jahreslänge." sqref="M2">
      <formula1>$W$1:$W$12</formula1>
    </dataValidation>
    <dataValidation type="list" allowBlank="1" showInputMessage="1" showErrorMessage="1" error="Bitte wählen Sie einen gültigen Monat aus." sqref="F2:G2">
      <formula1>$V$1:$V$12</formula1>
    </dataValidation>
  </dataValidations>
  <printOptions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75" r:id="rId5"/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7"/>
  <sheetViews>
    <sheetView showGridLines="0" showRowColHeaders="0" zoomScale="110" zoomScaleNormal="110" workbookViewId="0" topLeftCell="A1">
      <selection activeCell="AC16" sqref="AC16"/>
    </sheetView>
  </sheetViews>
  <sheetFormatPr defaultColWidth="11.421875" defaultRowHeight="12.75" customHeight="1"/>
  <cols>
    <col min="1" max="1" width="0.85546875" style="1" customWidth="1"/>
    <col min="2" max="2" width="2.7109375" style="2" customWidth="1"/>
    <col min="3" max="3" width="11.7109375" style="1" customWidth="1"/>
    <col min="4" max="4" width="15.28125" style="1" customWidth="1"/>
    <col min="5" max="5" width="9.7109375" style="1" customWidth="1"/>
    <col min="6" max="6" width="7.7109375" style="3" customWidth="1"/>
    <col min="7" max="7" width="3.7109375" style="3" customWidth="1"/>
    <col min="8" max="8" width="3.7109375" style="2" customWidth="1"/>
    <col min="9" max="9" width="9.7109375" style="1" customWidth="1"/>
    <col min="10" max="10" width="7.7109375" style="2" customWidth="1"/>
    <col min="11" max="11" width="3.7109375" style="2" customWidth="1"/>
    <col min="12" max="12" width="3.7109375" style="1" customWidth="1"/>
    <col min="13" max="13" width="9.7109375" style="1" customWidth="1"/>
    <col min="14" max="14" width="7.7109375" style="17" customWidth="1"/>
    <col min="15" max="15" width="0.85546875" style="1" customWidth="1"/>
    <col min="16" max="16" width="11.421875" style="1" customWidth="1"/>
    <col min="17" max="28" width="11.421875" style="1" hidden="1" customWidth="1"/>
    <col min="29" max="29" width="11.421875" style="1" customWidth="1"/>
    <col min="30" max="16384" width="11.421875" style="1" customWidth="1"/>
  </cols>
  <sheetData>
    <row r="1" spans="4:29" s="203" customFormat="1" ht="15" customHeight="1">
      <c r="D1" s="37" t="s">
        <v>48</v>
      </c>
      <c r="E1" s="204" t="s">
        <v>49</v>
      </c>
      <c r="F1" s="41"/>
      <c r="G1" s="41"/>
      <c r="L1" s="37" t="s">
        <v>78</v>
      </c>
      <c r="M1" s="408">
        <v>43831</v>
      </c>
      <c r="N1" s="409"/>
      <c r="Q1" s="302">
        <f>Monatswerte!F13</f>
        <v>43831</v>
      </c>
      <c r="R1" s="302">
        <f>Monatswerte!G13</f>
        <v>43862</v>
      </c>
      <c r="S1" s="302">
        <f>Monatswerte!H13</f>
        <v>43891</v>
      </c>
      <c r="T1" s="302">
        <f>Monatswerte!I13</f>
        <v>43922</v>
      </c>
      <c r="U1" s="302">
        <f>Monatswerte!J13</f>
        <v>43952</v>
      </c>
      <c r="V1" s="302">
        <f>Monatswerte!K13</f>
        <v>43983</v>
      </c>
      <c r="W1" s="302">
        <f>Monatswerte!L13</f>
        <v>44013</v>
      </c>
      <c r="X1" s="302">
        <f>Monatswerte!M13</f>
        <v>44044</v>
      </c>
      <c r="Y1" s="302">
        <f>Monatswerte!N13</f>
        <v>44075</v>
      </c>
      <c r="Z1" s="302">
        <f>Monatswerte!O13</f>
        <v>44105</v>
      </c>
      <c r="AA1" s="302">
        <f>Monatswerte!P13</f>
        <v>44136</v>
      </c>
      <c r="AB1" s="302">
        <f>Monatswerte!Q13</f>
        <v>44166</v>
      </c>
      <c r="AC1" s="116"/>
    </row>
    <row r="2" spans="4:28" s="203" customFormat="1" ht="15" customHeight="1">
      <c r="D2" s="37" t="s">
        <v>38</v>
      </c>
      <c r="E2" s="42" t="s">
        <v>39</v>
      </c>
      <c r="F2" s="41"/>
      <c r="G2" s="41"/>
      <c r="L2" s="37" t="s">
        <v>79</v>
      </c>
      <c r="M2" s="408">
        <v>43891</v>
      </c>
      <c r="N2" s="409"/>
      <c r="Q2" s="116">
        <f>Monatswerte!F10</f>
        <v>1</v>
      </c>
      <c r="R2" s="116">
        <f>Monatswerte!G10</f>
        <v>2</v>
      </c>
      <c r="S2" s="116">
        <f>Monatswerte!H10</f>
        <v>3</v>
      </c>
      <c r="T2" s="116">
        <f>Monatswerte!I10</f>
        <v>4</v>
      </c>
      <c r="U2" s="116">
        <f>Monatswerte!J10</f>
        <v>5</v>
      </c>
      <c r="V2" s="116">
        <f>Monatswerte!K10</f>
        <v>6</v>
      </c>
      <c r="W2" s="116">
        <f>Monatswerte!L10</f>
        <v>7</v>
      </c>
      <c r="X2" s="116">
        <f>Monatswerte!M10</f>
        <v>8</v>
      </c>
      <c r="Y2" s="116">
        <f>Monatswerte!N10</f>
        <v>9</v>
      </c>
      <c r="Z2" s="116">
        <f>Monatswerte!O10</f>
        <v>10</v>
      </c>
      <c r="AA2" s="116">
        <f>Monatswerte!P10</f>
        <v>11</v>
      </c>
      <c r="AB2" s="116">
        <f>Monatswerte!Q10</f>
        <v>12</v>
      </c>
    </row>
    <row r="3" spans="4:28" ht="5.25" customHeight="1">
      <c r="D3" s="7"/>
      <c r="E3" s="30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</row>
    <row r="4" spans="2:17" ht="6" customHeight="1">
      <c r="B4" s="45"/>
      <c r="C4" s="50"/>
      <c r="D4" s="46"/>
      <c r="E4" s="47"/>
      <c r="F4" s="48"/>
      <c r="G4" s="48"/>
      <c r="H4" s="49"/>
      <c r="I4" s="50"/>
      <c r="J4" s="49"/>
      <c r="K4" s="49"/>
      <c r="L4" s="50"/>
      <c r="M4" s="50"/>
      <c r="N4" s="51"/>
      <c r="Q4" s="116"/>
    </row>
    <row r="5" spans="2:18" ht="18" customHeight="1">
      <c r="B5" s="52"/>
      <c r="C5" s="364" t="s">
        <v>205</v>
      </c>
      <c r="D5" s="364"/>
      <c r="E5" s="35" t="s">
        <v>202</v>
      </c>
      <c r="F5" s="24"/>
      <c r="G5" s="24"/>
      <c r="H5" s="114"/>
      <c r="I5" s="346"/>
      <c r="J5" s="346"/>
      <c r="K5" s="346"/>
      <c r="L5" s="346"/>
      <c r="M5" s="346"/>
      <c r="N5" s="346">
        <f>Jahreswerte!M4</f>
        <v>0</v>
      </c>
      <c r="Q5" s="116">
        <f>HLOOKUP(M1,Q1:AB2,2,FALSE)</f>
        <v>1</v>
      </c>
      <c r="R5" s="116">
        <f>HLOOKUP(M2,Q1:AB2,2,FALSE)</f>
        <v>3</v>
      </c>
    </row>
    <row r="6" spans="2:17" ht="12.75" customHeight="1">
      <c r="B6" s="52"/>
      <c r="C6" s="364"/>
      <c r="D6" s="364"/>
      <c r="E6" s="255">
        <f>Jahreswerte!D5</f>
        <v>0</v>
      </c>
      <c r="F6" s="24"/>
      <c r="G6" s="24"/>
      <c r="H6" s="114"/>
      <c r="I6" s="346"/>
      <c r="J6" s="346"/>
      <c r="K6" s="346"/>
      <c r="L6" s="346"/>
      <c r="M6" s="346"/>
      <c r="N6" s="346">
        <f>Jahreswerte!M5</f>
        <v>0</v>
      </c>
      <c r="Q6" s="116"/>
    </row>
    <row r="7" spans="2:17" s="254" customFormat="1" ht="15">
      <c r="B7" s="257"/>
      <c r="C7" s="258"/>
      <c r="D7" s="346"/>
      <c r="E7" s="256" t="str">
        <f>Jahreswerte!F6</f>
        <v>Version 2020.02 - www.rdg-gmbh.de</v>
      </c>
      <c r="F7" s="259"/>
      <c r="G7" s="259"/>
      <c r="H7" s="260"/>
      <c r="I7" s="260"/>
      <c r="J7" s="260"/>
      <c r="K7" s="258"/>
      <c r="L7" s="258"/>
      <c r="M7" s="258">
        <f>Jahreswerte!M6</f>
        <v>2020</v>
      </c>
      <c r="N7" s="261" t="str">
        <f>IF(ISNUMBER(Jahreswerte!P6)," / "&amp;Jahreswerte!P6,"")</f>
        <v/>
      </c>
      <c r="Q7" s="193"/>
    </row>
    <row r="8" spans="2:17" ht="6" customHeight="1">
      <c r="B8" s="54"/>
      <c r="C8" s="55"/>
      <c r="D8" s="55"/>
      <c r="E8" s="55"/>
      <c r="F8" s="56"/>
      <c r="G8" s="56"/>
      <c r="H8" s="57"/>
      <c r="I8" s="55"/>
      <c r="J8" s="57"/>
      <c r="K8" s="57"/>
      <c r="L8" s="55"/>
      <c r="M8" s="55"/>
      <c r="N8" s="58"/>
      <c r="Q8" s="116"/>
    </row>
    <row r="9" spans="2:17" ht="6" customHeight="1">
      <c r="B9" s="31"/>
      <c r="C9" s="32"/>
      <c r="D9" s="32"/>
      <c r="E9" s="32"/>
      <c r="F9" s="33"/>
      <c r="G9" s="33"/>
      <c r="H9" s="31"/>
      <c r="I9" s="32"/>
      <c r="J9" s="31"/>
      <c r="K9" s="31"/>
      <c r="L9" s="32"/>
      <c r="M9" s="32"/>
      <c r="N9" s="34"/>
      <c r="Q9" s="116"/>
    </row>
    <row r="10" spans="2:17" s="233" customFormat="1" ht="24" customHeight="1">
      <c r="B10" s="396" t="s">
        <v>77</v>
      </c>
      <c r="C10" s="414"/>
      <c r="D10" s="414"/>
      <c r="E10" s="414"/>
      <c r="F10" s="415"/>
      <c r="G10" s="415"/>
      <c r="H10" s="415"/>
      <c r="I10" s="410" t="str">
        <f>TEXT($M$1,"MMMM")&amp;" - "&amp;TEXT($M$2,"MMMM")&amp;" "&amp;Jahreswerte!M6&amp;IF(ISNUMBER(Jahreswerte!P6)," / "&amp;Jahreswerte!P6,"")</f>
        <v>Januar - März 2020</v>
      </c>
      <c r="J10" s="410"/>
      <c r="K10" s="410"/>
      <c r="L10" s="411"/>
      <c r="M10" s="411"/>
      <c r="N10" s="412"/>
      <c r="Q10" s="232"/>
    </row>
    <row r="11" spans="2:17" s="233" customFormat="1" ht="20.1" customHeight="1">
      <c r="B11" s="234" t="str">
        <f>IF(ISNUMBER(#REF!),#REF!-1,"")&amp;IF(ISNUMBER(#REF!)," / "&amp;#REF!-1,"")</f>
        <v/>
      </c>
      <c r="C11" s="235"/>
      <c r="D11" s="235"/>
      <c r="E11" s="413" t="s">
        <v>80</v>
      </c>
      <c r="F11" s="416"/>
      <c r="G11" s="247"/>
      <c r="I11" s="413" t="s">
        <v>81</v>
      </c>
      <c r="J11" s="413"/>
      <c r="K11" s="248"/>
      <c r="M11" s="413" t="s">
        <v>82</v>
      </c>
      <c r="N11" s="417"/>
      <c r="Q11" s="232"/>
    </row>
    <row r="12" spans="2:17" s="5" customFormat="1" ht="12.75">
      <c r="B12" s="61"/>
      <c r="C12" s="30"/>
      <c r="E12" s="5" t="s">
        <v>8</v>
      </c>
      <c r="F12" s="5" t="s">
        <v>34</v>
      </c>
      <c r="G12" s="62"/>
      <c r="I12" s="5" t="s">
        <v>8</v>
      </c>
      <c r="J12" s="5" t="s">
        <v>34</v>
      </c>
      <c r="K12" s="62"/>
      <c r="M12" s="5" t="s">
        <v>8</v>
      </c>
      <c r="N12" s="62" t="s">
        <v>34</v>
      </c>
      <c r="Q12" s="116"/>
    </row>
    <row r="13" spans="2:17" ht="15" customHeight="1">
      <c r="B13" s="63">
        <v>1</v>
      </c>
      <c r="C13" s="1" t="str">
        <f>Jahreswerte!C12</f>
        <v>Umsatz</v>
      </c>
      <c r="E13" s="12">
        <f ca="1">SUM(OFFSET(Monatswerte!E15,,$Q$5,,1+$R$5-$Q$5))</f>
        <v>0</v>
      </c>
      <c r="F13" s="10" t="str">
        <f ca="1">IF(E$16=0,"-       ",E13/$E$16%)</f>
        <v xml:space="preserve">-       </v>
      </c>
      <c r="G13" s="10"/>
      <c r="H13" s="63"/>
      <c r="I13" s="239"/>
      <c r="J13" s="10" t="str">
        <f>IF(I$16=0,"-       ",I13/$I$16%)</f>
        <v xml:space="preserve">-       </v>
      </c>
      <c r="K13" s="10"/>
      <c r="L13" s="244"/>
      <c r="M13" s="9">
        <f aca="true" t="shared" si="0" ref="M13:M28">I13-E13</f>
        <v>0</v>
      </c>
      <c r="N13" s="74" t="str">
        <f aca="true" t="shared" si="1" ref="N13:N28">IF(ISERROR(M13/E13%),"-         ",M13/E13%)</f>
        <v xml:space="preserve">-         </v>
      </c>
      <c r="Q13" s="116"/>
    </row>
    <row r="14" spans="2:17" ht="12.75">
      <c r="B14" s="63">
        <f>B13+1</f>
        <v>2</v>
      </c>
      <c r="C14" s="1" t="str">
        <f>Jahreswerte!C13</f>
        <v>Bestandsveränderungen</v>
      </c>
      <c r="E14" s="12">
        <f ca="1">SUM(OFFSET(Monatswerte!E16,,$Q$5,,1+$R$5-$Q$5))</f>
        <v>0</v>
      </c>
      <c r="F14" s="10" t="str">
        <f aca="true" t="shared" si="2" ref="F14:F28">IF(E$16=0,"-       ",E14/$E$16%)</f>
        <v xml:space="preserve">-       </v>
      </c>
      <c r="G14" s="10"/>
      <c r="H14" s="63"/>
      <c r="I14" s="239"/>
      <c r="J14" s="11" t="str">
        <f aca="true" t="shared" si="3" ref="J14:J28">IF(I$16=0,"-       ",I14/$I$16%)</f>
        <v xml:space="preserve">-       </v>
      </c>
      <c r="K14" s="11"/>
      <c r="L14" s="244"/>
      <c r="M14" s="9">
        <f ca="1" t="shared" si="0"/>
        <v>0</v>
      </c>
      <c r="N14" s="74" t="str">
        <f ca="1" t="shared" si="1"/>
        <v xml:space="preserve">-         </v>
      </c>
      <c r="Q14" s="116"/>
    </row>
    <row r="15" spans="2:17" s="201" customFormat="1" ht="15" customHeight="1">
      <c r="B15" s="94">
        <f aca="true" t="shared" si="4" ref="B15:B28">B14+1</f>
        <v>3</v>
      </c>
      <c r="C15" s="201" t="str">
        <f>Jahreswerte!C14</f>
        <v>Aktivierte Eigenleistungen</v>
      </c>
      <c r="E15" s="236">
        <f ca="1">SUM(OFFSET(Monatswerte!E17,,$Q$5,,1+$R$5-$Q$5))</f>
        <v>0</v>
      </c>
      <c r="F15" s="228" t="str">
        <f ca="1" t="shared" si="2"/>
        <v xml:space="preserve">-       </v>
      </c>
      <c r="G15" s="228"/>
      <c r="H15" s="182"/>
      <c r="I15" s="240"/>
      <c r="J15" s="101" t="str">
        <f t="shared" si="3"/>
        <v xml:space="preserve">-       </v>
      </c>
      <c r="K15" s="101"/>
      <c r="L15" s="245"/>
      <c r="M15" s="100">
        <f ca="1" t="shared" si="0"/>
        <v>0</v>
      </c>
      <c r="N15" s="102" t="str">
        <f ca="1" t="shared" si="1"/>
        <v xml:space="preserve">-         </v>
      </c>
      <c r="Q15" s="116"/>
    </row>
    <row r="16" spans="2:17" s="227" customFormat="1" ht="17.25" customHeight="1">
      <c r="B16" s="217">
        <f t="shared" si="4"/>
        <v>4</v>
      </c>
      <c r="C16" s="219" t="str">
        <f>Jahreswerte!C15</f>
        <v>Gesamtleistung</v>
      </c>
      <c r="D16" s="219"/>
      <c r="E16" s="220">
        <f ca="1">E13+E14+E15</f>
        <v>0</v>
      </c>
      <c r="F16" s="229" t="str">
        <f ca="1" t="shared" si="2"/>
        <v xml:space="preserve">-       </v>
      </c>
      <c r="G16" s="229"/>
      <c r="H16" s="231"/>
      <c r="I16" s="220">
        <f>I13+I14+I15</f>
        <v>0</v>
      </c>
      <c r="J16" s="226" t="str">
        <f t="shared" si="3"/>
        <v xml:space="preserve">-       </v>
      </c>
      <c r="K16" s="226"/>
      <c r="L16" s="219"/>
      <c r="M16" s="220">
        <f ca="1" t="shared" si="0"/>
        <v>0</v>
      </c>
      <c r="N16" s="221" t="str">
        <f ca="1" t="shared" si="1"/>
        <v xml:space="preserve">-         </v>
      </c>
      <c r="Q16" s="116"/>
    </row>
    <row r="17" spans="2:14" ht="15" customHeight="1">
      <c r="B17" s="63">
        <f t="shared" si="4"/>
        <v>5</v>
      </c>
      <c r="C17" s="1" t="str">
        <f>Jahreswerte!C16</f>
        <v>Materialaufwand</v>
      </c>
      <c r="E17" s="237">
        <f ca="1">SUM(OFFSET(Monatswerte!E19,,$Q$5,,1+$R$5-$Q$5))</f>
        <v>0</v>
      </c>
      <c r="F17" s="10" t="str">
        <f ca="1" t="shared" si="2"/>
        <v xml:space="preserve">-       </v>
      </c>
      <c r="G17" s="10"/>
      <c r="H17" s="63"/>
      <c r="I17" s="239"/>
      <c r="J17" s="11" t="str">
        <f t="shared" si="3"/>
        <v xml:space="preserve">-       </v>
      </c>
      <c r="K17" s="11"/>
      <c r="L17" s="244"/>
      <c r="M17" s="9">
        <f ca="1" t="shared" si="0"/>
        <v>0</v>
      </c>
      <c r="N17" s="74" t="str">
        <f ca="1" t="shared" si="1"/>
        <v xml:space="preserve">-         </v>
      </c>
    </row>
    <row r="18" spans="2:14" s="201" customFormat="1" ht="15" customHeight="1">
      <c r="B18" s="103" t="str">
        <f>B17&amp;"a"</f>
        <v>5a</v>
      </c>
      <c r="C18" s="122" t="str">
        <f>Jahreswerte!C17</f>
        <v xml:space="preserve">   davon Fremdleister</v>
      </c>
      <c r="E18" s="236">
        <f ca="1">SUM(OFFSET(Monatswerte!E20,,$Q$5,,1+$R$5-$Q$5))</f>
        <v>0</v>
      </c>
      <c r="F18" s="228" t="str">
        <f ca="1" t="shared" si="2"/>
        <v xml:space="preserve">-       </v>
      </c>
      <c r="G18" s="228"/>
      <c r="H18" s="182"/>
      <c r="I18" s="240"/>
      <c r="J18" s="101" t="str">
        <f t="shared" si="3"/>
        <v xml:space="preserve">-       </v>
      </c>
      <c r="K18" s="101"/>
      <c r="L18" s="245"/>
      <c r="M18" s="100">
        <f ca="1" t="shared" si="0"/>
        <v>0</v>
      </c>
      <c r="N18" s="102" t="str">
        <f ca="1" t="shared" si="1"/>
        <v xml:space="preserve">-         </v>
      </c>
    </row>
    <row r="19" spans="2:14" s="227" customFormat="1" ht="17.25" customHeight="1">
      <c r="B19" s="217">
        <f>B17+1</f>
        <v>6</v>
      </c>
      <c r="C19" s="219" t="str">
        <f>Jahreswerte!C18</f>
        <v>Rohertrag (DB I)</v>
      </c>
      <c r="D19" s="219"/>
      <c r="E19" s="220">
        <f ca="1">E16-E17</f>
        <v>0</v>
      </c>
      <c r="F19" s="229" t="str">
        <f ca="1" t="shared" si="2"/>
        <v xml:space="preserve">-       </v>
      </c>
      <c r="G19" s="229"/>
      <c r="H19" s="231"/>
      <c r="I19" s="220">
        <f>I16-I17</f>
        <v>0</v>
      </c>
      <c r="J19" s="226" t="str">
        <f t="shared" si="3"/>
        <v xml:space="preserve">-       </v>
      </c>
      <c r="K19" s="226"/>
      <c r="L19" s="219"/>
      <c r="M19" s="220">
        <f ca="1" t="shared" si="0"/>
        <v>0</v>
      </c>
      <c r="N19" s="221" t="str">
        <f ca="1" t="shared" si="1"/>
        <v xml:space="preserve">-         </v>
      </c>
    </row>
    <row r="20" spans="2:14" s="203" customFormat="1" ht="17.25" customHeight="1">
      <c r="B20" s="82">
        <f t="shared" si="4"/>
        <v>7</v>
      </c>
      <c r="C20" s="203" t="str">
        <f>Jahreswerte!C19</f>
        <v>Personalaufwand</v>
      </c>
      <c r="E20" s="238">
        <f ca="1">SUM(OFFSET(Monatswerte!E22,,$Q$5,,1+$R$5-$Q$5))</f>
        <v>0</v>
      </c>
      <c r="F20" s="230" t="str">
        <f ca="1" t="shared" si="2"/>
        <v xml:space="preserve">-       </v>
      </c>
      <c r="G20" s="230"/>
      <c r="H20" s="243"/>
      <c r="I20" s="241"/>
      <c r="J20" s="91" t="str">
        <f t="shared" si="3"/>
        <v xml:space="preserve">-       </v>
      </c>
      <c r="K20" s="91"/>
      <c r="L20" s="246"/>
      <c r="M20" s="90">
        <f ca="1" t="shared" si="0"/>
        <v>0</v>
      </c>
      <c r="N20" s="92" t="str">
        <f ca="1" t="shared" si="1"/>
        <v xml:space="preserve">-         </v>
      </c>
    </row>
    <row r="21" spans="2:14" s="227" customFormat="1" ht="17.25" customHeight="1">
      <c r="B21" s="217">
        <f t="shared" si="4"/>
        <v>8</v>
      </c>
      <c r="C21" s="219" t="str">
        <f>Jahreswerte!C20</f>
        <v>Deckungsbeitrag II</v>
      </c>
      <c r="D21" s="219"/>
      <c r="E21" s="220">
        <f ca="1">E19-E20</f>
        <v>0</v>
      </c>
      <c r="F21" s="229" t="str">
        <f ca="1" t="shared" si="2"/>
        <v xml:space="preserve">-       </v>
      </c>
      <c r="G21" s="229"/>
      <c r="H21" s="231"/>
      <c r="I21" s="220">
        <f>I19-I20</f>
        <v>0</v>
      </c>
      <c r="J21" s="226" t="str">
        <f t="shared" si="3"/>
        <v xml:space="preserve">-       </v>
      </c>
      <c r="K21" s="226"/>
      <c r="L21" s="219"/>
      <c r="M21" s="220">
        <f ca="1" t="shared" si="0"/>
        <v>0</v>
      </c>
      <c r="N21" s="221" t="str">
        <f ca="1" t="shared" si="1"/>
        <v xml:space="preserve">-         </v>
      </c>
    </row>
    <row r="22" spans="2:14" ht="15" customHeight="1">
      <c r="B22" s="63">
        <f t="shared" si="4"/>
        <v>9</v>
      </c>
      <c r="C22" s="1" t="str">
        <f>Jahreswerte!C21</f>
        <v>Abschreibungen</v>
      </c>
      <c r="E22" s="12">
        <f ca="1">SUM(OFFSET(Monatswerte!E24,,$Q$5,,1+$R$5-$Q$5))</f>
        <v>0</v>
      </c>
      <c r="F22" s="10" t="str">
        <f ca="1" t="shared" si="2"/>
        <v xml:space="preserve">-       </v>
      </c>
      <c r="G22" s="10"/>
      <c r="H22" s="63"/>
      <c r="I22" s="239"/>
      <c r="J22" s="11" t="str">
        <f t="shared" si="3"/>
        <v xml:space="preserve">-       </v>
      </c>
      <c r="K22" s="11"/>
      <c r="L22" s="244"/>
      <c r="M22" s="9">
        <f ca="1" t="shared" si="0"/>
        <v>0</v>
      </c>
      <c r="N22" s="74" t="str">
        <f ca="1" t="shared" si="1"/>
        <v xml:space="preserve">-         </v>
      </c>
    </row>
    <row r="23" spans="2:14" ht="12.75">
      <c r="B23" s="63">
        <f t="shared" si="4"/>
        <v>10</v>
      </c>
      <c r="C23" s="1" t="str">
        <f>Jahreswerte!C22</f>
        <v>Zinsaufwand</v>
      </c>
      <c r="E23" s="12">
        <f ca="1">SUM(OFFSET(Monatswerte!E25,,$Q$5,,1+$R$5-$Q$5))</f>
        <v>0</v>
      </c>
      <c r="F23" s="10" t="str">
        <f ca="1" t="shared" si="2"/>
        <v xml:space="preserve">-       </v>
      </c>
      <c r="G23" s="10"/>
      <c r="H23" s="63"/>
      <c r="I23" s="239"/>
      <c r="J23" s="11" t="str">
        <f t="shared" si="3"/>
        <v xml:space="preserve">-       </v>
      </c>
      <c r="K23" s="11"/>
      <c r="L23" s="244"/>
      <c r="M23" s="9">
        <f ca="1" t="shared" si="0"/>
        <v>0</v>
      </c>
      <c r="N23" s="74" t="str">
        <f ca="1" t="shared" si="1"/>
        <v xml:space="preserve">-         </v>
      </c>
    </row>
    <row r="24" spans="2:14" s="201" customFormat="1" ht="15" customHeight="1">
      <c r="B24" s="94">
        <f t="shared" si="4"/>
        <v>11</v>
      </c>
      <c r="C24" s="201" t="str">
        <f>Jahreswerte!C23</f>
        <v>Sonstiger Aufwand</v>
      </c>
      <c r="E24" s="236">
        <f ca="1">SUM(OFFSET(Monatswerte!E26,,$Q$5,,1+$R$5-$Q$5))</f>
        <v>0</v>
      </c>
      <c r="F24" s="228" t="str">
        <f ca="1" t="shared" si="2"/>
        <v xml:space="preserve">-       </v>
      </c>
      <c r="G24" s="228"/>
      <c r="H24" s="182"/>
      <c r="I24" s="240"/>
      <c r="J24" s="101" t="str">
        <f t="shared" si="3"/>
        <v xml:space="preserve">-       </v>
      </c>
      <c r="K24" s="101"/>
      <c r="L24" s="245"/>
      <c r="M24" s="100">
        <f ca="1" t="shared" si="0"/>
        <v>0</v>
      </c>
      <c r="N24" s="102" t="str">
        <f ca="1" t="shared" si="1"/>
        <v xml:space="preserve">-         </v>
      </c>
    </row>
    <row r="25" spans="2:14" s="227" customFormat="1" ht="17.25" customHeight="1">
      <c r="B25" s="217">
        <f t="shared" si="4"/>
        <v>12</v>
      </c>
      <c r="C25" s="219" t="str">
        <f>Jahreswerte!C24</f>
        <v>Betriebsergebnis</v>
      </c>
      <c r="D25" s="219"/>
      <c r="E25" s="220">
        <f ca="1">E21-E22-E23-E24</f>
        <v>0</v>
      </c>
      <c r="F25" s="229" t="str">
        <f ca="1" t="shared" si="2"/>
        <v xml:space="preserve">-       </v>
      </c>
      <c r="G25" s="229"/>
      <c r="H25" s="231"/>
      <c r="I25" s="220">
        <f>I21-I22-I23-I24</f>
        <v>0</v>
      </c>
      <c r="J25" s="226" t="str">
        <f t="shared" si="3"/>
        <v xml:space="preserve">-       </v>
      </c>
      <c r="K25" s="226"/>
      <c r="L25" s="219"/>
      <c r="M25" s="220">
        <f ca="1" t="shared" si="0"/>
        <v>0</v>
      </c>
      <c r="N25" s="221" t="str">
        <f ca="1" t="shared" si="1"/>
        <v xml:space="preserve">-         </v>
      </c>
    </row>
    <row r="26" spans="2:14" ht="15" customHeight="1">
      <c r="B26" s="63">
        <f t="shared" si="4"/>
        <v>13</v>
      </c>
      <c r="C26" s="1" t="str">
        <f>Jahreswerte!C25</f>
        <v>Neutrales Ergebnis</v>
      </c>
      <c r="E26" s="12">
        <f ca="1">SUM(OFFSET(Monatswerte!E28,,$Q$5,,1+$R$5-$Q$5))</f>
        <v>0</v>
      </c>
      <c r="F26" s="10" t="str">
        <f ca="1" t="shared" si="2"/>
        <v xml:space="preserve">-       </v>
      </c>
      <c r="G26" s="10"/>
      <c r="H26" s="63"/>
      <c r="I26" s="239"/>
      <c r="J26" s="11" t="str">
        <f t="shared" si="3"/>
        <v xml:space="preserve">-       </v>
      </c>
      <c r="K26" s="11"/>
      <c r="L26" s="244"/>
      <c r="M26" s="9">
        <f ca="1" t="shared" si="0"/>
        <v>0</v>
      </c>
      <c r="N26" s="74" t="str">
        <f ca="1" t="shared" si="1"/>
        <v xml:space="preserve">-         </v>
      </c>
    </row>
    <row r="27" spans="2:14" s="201" customFormat="1" ht="15" customHeight="1">
      <c r="B27" s="94">
        <f t="shared" si="4"/>
        <v>14</v>
      </c>
      <c r="C27" s="201" t="str">
        <f>Jahreswerte!C26</f>
        <v>EE-Steuern</v>
      </c>
      <c r="E27" s="236">
        <f ca="1">SUM(OFFSET(Monatswerte!E29,,$Q$5,,1+$R$5-$Q$5))</f>
        <v>0</v>
      </c>
      <c r="F27" s="228" t="str">
        <f ca="1" t="shared" si="2"/>
        <v xml:space="preserve">-       </v>
      </c>
      <c r="G27" s="228"/>
      <c r="H27" s="182"/>
      <c r="I27" s="240"/>
      <c r="J27" s="101" t="str">
        <f t="shared" si="3"/>
        <v xml:space="preserve">-       </v>
      </c>
      <c r="K27" s="101"/>
      <c r="L27" s="245"/>
      <c r="M27" s="100">
        <f ca="1" t="shared" si="0"/>
        <v>0</v>
      </c>
      <c r="N27" s="102" t="str">
        <f ca="1" t="shared" si="1"/>
        <v xml:space="preserve">-         </v>
      </c>
    </row>
    <row r="28" spans="2:14" s="227" customFormat="1" ht="17.25" customHeight="1">
      <c r="B28" s="217">
        <f t="shared" si="4"/>
        <v>15</v>
      </c>
      <c r="C28" s="219" t="str">
        <f>Jahreswerte!C27</f>
        <v>Unternehmensergebnis</v>
      </c>
      <c r="D28" s="219"/>
      <c r="E28" s="220">
        <f ca="1">E25+E26+E27</f>
        <v>0</v>
      </c>
      <c r="F28" s="229" t="str">
        <f ca="1" t="shared" si="2"/>
        <v xml:space="preserve">-       </v>
      </c>
      <c r="G28" s="229"/>
      <c r="H28" s="231"/>
      <c r="I28" s="220">
        <f>I25+I26+I27</f>
        <v>0</v>
      </c>
      <c r="J28" s="226" t="str">
        <f t="shared" si="3"/>
        <v xml:space="preserve">-       </v>
      </c>
      <c r="K28" s="226"/>
      <c r="L28" s="219"/>
      <c r="M28" s="220">
        <f ca="1" t="shared" si="0"/>
        <v>0</v>
      </c>
      <c r="N28" s="221" t="str">
        <f ca="1" t="shared" si="1"/>
        <v xml:space="preserve">-         </v>
      </c>
    </row>
    <row r="29" ht="5.25" customHeight="1"/>
    <row r="30" spans="2:17" s="233" customFormat="1" ht="24" customHeight="1">
      <c r="B30" s="396" t="s">
        <v>83</v>
      </c>
      <c r="C30" s="414"/>
      <c r="D30" s="414"/>
      <c r="E30" s="414"/>
      <c r="F30" s="415"/>
      <c r="G30" s="415"/>
      <c r="H30" s="415"/>
      <c r="I30" s="410" t="str">
        <f>"Per "&amp;TEXT(EOMONTH(M2,0),"TT. MMMM JJJJ")</f>
        <v>Per 31. März 2020</v>
      </c>
      <c r="J30" s="410"/>
      <c r="K30" s="410"/>
      <c r="L30" s="411"/>
      <c r="M30" s="411"/>
      <c r="N30" s="412"/>
      <c r="Q30" s="232"/>
    </row>
    <row r="31" spans="2:17" s="233" customFormat="1" ht="20.1" customHeight="1">
      <c r="B31" s="234" t="str">
        <f>IF(ISNUMBER(#REF!),#REF!-1,"")&amp;IF(ISNUMBER(#REF!)," / "&amp;#REF!-1,"")</f>
        <v/>
      </c>
      <c r="C31" s="235"/>
      <c r="D31" s="235"/>
      <c r="E31" s="413" t="s">
        <v>80</v>
      </c>
      <c r="F31" s="416"/>
      <c r="G31" s="247"/>
      <c r="I31" s="413" t="s">
        <v>81</v>
      </c>
      <c r="J31" s="413"/>
      <c r="K31" s="248"/>
      <c r="M31" s="413" t="s">
        <v>82</v>
      </c>
      <c r="N31" s="417"/>
      <c r="Q31" s="232"/>
    </row>
    <row r="32" spans="2:17" s="5" customFormat="1" ht="12.75">
      <c r="B32" s="61"/>
      <c r="C32" s="30"/>
      <c r="E32" s="5" t="s">
        <v>8</v>
      </c>
      <c r="F32" s="5" t="s">
        <v>34</v>
      </c>
      <c r="G32" s="62"/>
      <c r="I32" s="5" t="s">
        <v>8</v>
      </c>
      <c r="J32" s="5" t="s">
        <v>34</v>
      </c>
      <c r="K32" s="62"/>
      <c r="M32" s="5" t="s">
        <v>8</v>
      </c>
      <c r="N32" s="62" t="s">
        <v>34</v>
      </c>
      <c r="Q32" s="116"/>
    </row>
    <row r="33" spans="2:17" ht="15" customHeight="1">
      <c r="B33" s="63">
        <v>1</v>
      </c>
      <c r="C33" s="1" t="str">
        <f>Jahreswerte!N31</f>
        <v>Anlagevermögen</v>
      </c>
      <c r="E33" s="12">
        <f ca="1">SUM(OFFSET(Monatswerte!E35,,,,1+$R$5))-SUM(OFFSET(Monatswerte!E24,,,,1+$R$5))</f>
        <v>0</v>
      </c>
      <c r="F33" s="10" t="str">
        <f ca="1">IF(E$16=0,"-       ",E33/$E$16%)</f>
        <v xml:space="preserve">-       </v>
      </c>
      <c r="G33" s="64"/>
      <c r="I33" s="239"/>
      <c r="J33" s="10" t="str">
        <f aca="true" t="shared" si="5" ref="J33:J47">IF(I$16=0,"-       ",I33/$I$16%)</f>
        <v xml:space="preserve">-       </v>
      </c>
      <c r="K33" s="64"/>
      <c r="M33" s="9">
        <f aca="true" t="shared" si="6" ref="M33:M47">I33-E33</f>
        <v>0</v>
      </c>
      <c r="N33" s="74" t="str">
        <f aca="true" t="shared" si="7" ref="N33:N47">IF(ISERROR(M33/E33%),"-         ",M33/E33%)</f>
        <v xml:space="preserve">-         </v>
      </c>
      <c r="Q33" s="116"/>
    </row>
    <row r="34" spans="2:17" ht="12.75" customHeight="1">
      <c r="B34" s="63">
        <f>B33+1</f>
        <v>2</v>
      </c>
      <c r="C34" s="1" t="str">
        <f>Jahreswerte!N32</f>
        <v>Lager RHB</v>
      </c>
      <c r="E34" s="12">
        <f ca="1">OFFSET(Monatswerte!E43,,$R$5)</f>
        <v>0</v>
      </c>
      <c r="F34" s="10" t="str">
        <f aca="true" t="shared" si="8" ref="F34:F47">IF(E$16=0,"-       ",E34/$E$16%)</f>
        <v xml:space="preserve">-       </v>
      </c>
      <c r="G34" s="64"/>
      <c r="I34" s="239"/>
      <c r="J34" s="11" t="str">
        <f t="shared" si="5"/>
        <v xml:space="preserve">-       </v>
      </c>
      <c r="K34" s="74"/>
      <c r="M34" s="9">
        <f ca="1" t="shared" si="6"/>
        <v>0</v>
      </c>
      <c r="N34" s="74" t="str">
        <f ca="1" t="shared" si="7"/>
        <v xml:space="preserve">-         </v>
      </c>
      <c r="Q34" s="116"/>
    </row>
    <row r="35" spans="2:17" s="201" customFormat="1" ht="12.75" customHeight="1">
      <c r="B35" s="94">
        <f aca="true" t="shared" si="9" ref="B35:B47">B34+1</f>
        <v>3</v>
      </c>
      <c r="C35" s="201" t="str">
        <f>Jahreswerte!N33</f>
        <v>Lager UE/FE</v>
      </c>
      <c r="E35" s="236">
        <f ca="1">OFFSET(Monatswerte!E46,,$R$5)</f>
        <v>0</v>
      </c>
      <c r="F35" s="228" t="str">
        <f ca="1" t="shared" si="8"/>
        <v xml:space="preserve">-       </v>
      </c>
      <c r="G35" s="96"/>
      <c r="H35" s="97"/>
      <c r="I35" s="240"/>
      <c r="J35" s="101" t="str">
        <f t="shared" si="5"/>
        <v xml:space="preserve">-       </v>
      </c>
      <c r="K35" s="102"/>
      <c r="M35" s="100">
        <f ca="1" t="shared" si="6"/>
        <v>0</v>
      </c>
      <c r="N35" s="102" t="str">
        <f ca="1" t="shared" si="7"/>
        <v xml:space="preserve">-         </v>
      </c>
      <c r="Q35" s="116"/>
    </row>
    <row r="36" spans="2:17" s="201" customFormat="1" ht="12.75" customHeight="1">
      <c r="B36" s="94">
        <f t="shared" si="9"/>
        <v>4</v>
      </c>
      <c r="C36" s="201" t="str">
        <f>Jahreswerte!N34</f>
        <v>geleistete Anzahlungen</v>
      </c>
      <c r="E36" s="236">
        <f ca="1">OFFSET(Monatswerte!E48,,$R$5)</f>
        <v>0</v>
      </c>
      <c r="F36" s="228" t="str">
        <f ca="1" t="shared" si="8"/>
        <v xml:space="preserve">-       </v>
      </c>
      <c r="G36" s="96"/>
      <c r="H36" s="97"/>
      <c r="I36" s="240"/>
      <c r="J36" s="101" t="str">
        <f t="shared" si="5"/>
        <v xml:space="preserve">-       </v>
      </c>
      <c r="K36" s="102"/>
      <c r="M36" s="100">
        <f ca="1" t="shared" si="6"/>
        <v>0</v>
      </c>
      <c r="N36" s="102" t="str">
        <f ca="1" t="shared" si="7"/>
        <v xml:space="preserve">-         </v>
      </c>
      <c r="Q36" s="116"/>
    </row>
    <row r="37" spans="2:17" s="201" customFormat="1" ht="12.75" customHeight="1">
      <c r="B37" s="94">
        <f t="shared" si="9"/>
        <v>5</v>
      </c>
      <c r="C37" s="201" t="str">
        <f>Jahreswerte!N35</f>
        <v>Debitoren</v>
      </c>
      <c r="E37" s="236">
        <f ca="1">OFFSET(Monatswerte!E51,,$R$5)</f>
        <v>0</v>
      </c>
      <c r="F37" s="228" t="str">
        <f ca="1" t="shared" si="8"/>
        <v xml:space="preserve">-       </v>
      </c>
      <c r="G37" s="96"/>
      <c r="H37" s="97"/>
      <c r="I37" s="240"/>
      <c r="J37" s="101" t="str">
        <f t="shared" si="5"/>
        <v xml:space="preserve">-       </v>
      </c>
      <c r="K37" s="102"/>
      <c r="M37" s="100">
        <f ca="1" t="shared" si="6"/>
        <v>0</v>
      </c>
      <c r="N37" s="102" t="str">
        <f ca="1" t="shared" si="7"/>
        <v xml:space="preserve">-         </v>
      </c>
      <c r="Q37" s="116"/>
    </row>
    <row r="38" spans="2:17" s="201" customFormat="1" ht="12.75" customHeight="1">
      <c r="B38" s="94">
        <f>B37+1</f>
        <v>6</v>
      </c>
      <c r="C38" s="201" t="str">
        <f>Jahreswerte!N36</f>
        <v>Sonstige Aktiva</v>
      </c>
      <c r="E38" s="12">
        <f ca="1">SUM(OFFSET(Monatswerte!E39,,,,1+$R$5))</f>
        <v>0</v>
      </c>
      <c r="F38" s="228" t="str">
        <f ca="1" t="shared" si="8"/>
        <v xml:space="preserve">-       </v>
      </c>
      <c r="G38" s="96"/>
      <c r="H38" s="97"/>
      <c r="I38" s="240"/>
      <c r="J38" s="101" t="str">
        <f t="shared" si="5"/>
        <v xml:space="preserve">-       </v>
      </c>
      <c r="K38" s="102"/>
      <c r="M38" s="100">
        <f ca="1" t="shared" si="6"/>
        <v>0</v>
      </c>
      <c r="N38" s="102" t="str">
        <f ca="1" t="shared" si="7"/>
        <v xml:space="preserve">-         </v>
      </c>
      <c r="Q38" s="116"/>
    </row>
    <row r="39" spans="2:17" s="201" customFormat="1" ht="15" customHeight="1">
      <c r="B39" s="94">
        <f>B38+1</f>
        <v>7</v>
      </c>
      <c r="C39" s="201" t="str">
        <f>Jahreswerte!N37</f>
        <v>Flüssige Mittel</v>
      </c>
      <c r="E39" s="236">
        <f ca="1">SUM(OFFSET(Monatswerte!E40,,,,1+$R$5))</f>
        <v>0</v>
      </c>
      <c r="F39" s="228" t="str">
        <f ca="1" t="shared" si="8"/>
        <v xml:space="preserve">-       </v>
      </c>
      <c r="G39" s="249"/>
      <c r="H39" s="97"/>
      <c r="I39" s="240"/>
      <c r="J39" s="101" t="str">
        <f t="shared" si="5"/>
        <v xml:space="preserve">-       </v>
      </c>
      <c r="K39" s="250"/>
      <c r="M39" s="100">
        <f ca="1" t="shared" si="6"/>
        <v>0</v>
      </c>
      <c r="N39" s="102" t="str">
        <f ca="1" t="shared" si="7"/>
        <v xml:space="preserve">-         </v>
      </c>
      <c r="Q39" s="193"/>
    </row>
    <row r="40" spans="2:14" s="227" customFormat="1" ht="17.25" customHeight="1">
      <c r="B40" s="217">
        <f t="shared" si="9"/>
        <v>8</v>
      </c>
      <c r="C40" s="219" t="str">
        <f>Jahreswerte!C39</f>
        <v>Bilanzsumme</v>
      </c>
      <c r="D40" s="219"/>
      <c r="E40" s="220">
        <f ca="1">SUM(E33:E39)</f>
        <v>0</v>
      </c>
      <c r="F40" s="229" t="str">
        <f ca="1" t="shared" si="8"/>
        <v xml:space="preserve">-       </v>
      </c>
      <c r="G40" s="229"/>
      <c r="H40" s="231"/>
      <c r="I40" s="220">
        <f>SUM(I33:I39)</f>
        <v>0</v>
      </c>
      <c r="J40" s="226" t="str">
        <f t="shared" si="5"/>
        <v xml:space="preserve">-       </v>
      </c>
      <c r="K40" s="226"/>
      <c r="L40" s="219"/>
      <c r="M40" s="220">
        <f ca="1" t="shared" si="6"/>
        <v>0</v>
      </c>
      <c r="N40" s="221" t="str">
        <f ca="1" t="shared" si="7"/>
        <v xml:space="preserve">-         </v>
      </c>
    </row>
    <row r="41" spans="2:14" ht="15" customHeight="1">
      <c r="B41" s="63">
        <f t="shared" si="9"/>
        <v>9</v>
      </c>
      <c r="C41" s="1" t="str">
        <f>Jahreswerte!F31</f>
        <v>Wirt. Eigenkapital</v>
      </c>
      <c r="E41" s="12">
        <f ca="1">SUM(OFFSET(Monatswerte!E36,,,,1+$R$5))+SUM(OFFSET(Monatswerte!E30,,,,1+$R$5))</f>
        <v>0</v>
      </c>
      <c r="F41" s="10" t="str">
        <f ca="1" t="shared" si="8"/>
        <v xml:space="preserve">-       </v>
      </c>
      <c r="G41" s="64"/>
      <c r="I41" s="239"/>
      <c r="J41" s="11" t="str">
        <f t="shared" si="5"/>
        <v xml:space="preserve">-       </v>
      </c>
      <c r="K41" s="74"/>
      <c r="M41" s="9">
        <f ca="1" t="shared" si="6"/>
        <v>0</v>
      </c>
      <c r="N41" s="74" t="str">
        <f ca="1" t="shared" si="7"/>
        <v xml:space="preserve">-         </v>
      </c>
    </row>
    <row r="42" spans="2:14" ht="12.75" customHeight="1">
      <c r="B42" s="63">
        <f t="shared" si="9"/>
        <v>10</v>
      </c>
      <c r="C42" s="1" t="str">
        <f>Jahreswerte!F32</f>
        <v>langfr. Fremdkapital</v>
      </c>
      <c r="E42" s="12">
        <f ca="1">SUM(OFFSET(Monatswerte!E37,,,,1+$R$5))</f>
        <v>0</v>
      </c>
      <c r="F42" s="10" t="str">
        <f ca="1" t="shared" si="8"/>
        <v xml:space="preserve">-       </v>
      </c>
      <c r="G42" s="64"/>
      <c r="I42" s="239"/>
      <c r="J42" s="11" t="str">
        <f t="shared" si="5"/>
        <v xml:space="preserve">-       </v>
      </c>
      <c r="K42" s="74"/>
      <c r="M42" s="9">
        <f ca="1" t="shared" si="6"/>
        <v>0</v>
      </c>
      <c r="N42" s="74" t="str">
        <f ca="1" t="shared" si="7"/>
        <v xml:space="preserve">-         </v>
      </c>
    </row>
    <row r="43" spans="2:14" ht="12.75" customHeight="1">
      <c r="B43" s="63">
        <f t="shared" si="9"/>
        <v>11</v>
      </c>
      <c r="C43" s="1" t="str">
        <f>Jahreswerte!F33</f>
        <v>Erh. Anzahlungen</v>
      </c>
      <c r="E43" s="12">
        <f ca="1">OFFSET(Monatswerte!E54,,$R$5)</f>
        <v>0</v>
      </c>
      <c r="F43" s="10" t="str">
        <f ca="1" t="shared" si="8"/>
        <v xml:space="preserve">-       </v>
      </c>
      <c r="G43" s="64"/>
      <c r="I43" s="239"/>
      <c r="J43" s="11" t="str">
        <f t="shared" si="5"/>
        <v xml:space="preserve">-       </v>
      </c>
      <c r="K43" s="74"/>
      <c r="M43" s="9">
        <f ca="1" t="shared" si="6"/>
        <v>0</v>
      </c>
      <c r="N43" s="74" t="str">
        <f ca="1" t="shared" si="7"/>
        <v xml:space="preserve">-         </v>
      </c>
    </row>
    <row r="44" spans="2:14" ht="12.75" customHeight="1">
      <c r="B44" s="63">
        <f t="shared" si="9"/>
        <v>12</v>
      </c>
      <c r="C44" s="1" t="str">
        <f>Jahreswerte!F34</f>
        <v>Kreditoren</v>
      </c>
      <c r="E44" s="12">
        <f ca="1">OFFSET(Monatswerte!E58,,$R$5)</f>
        <v>0</v>
      </c>
      <c r="F44" s="10" t="str">
        <f ca="1" t="shared" si="8"/>
        <v xml:space="preserve">-       </v>
      </c>
      <c r="G44" s="64"/>
      <c r="I44" s="239"/>
      <c r="J44" s="11" t="str">
        <f t="shared" si="5"/>
        <v xml:space="preserve">-       </v>
      </c>
      <c r="K44" s="74"/>
      <c r="M44" s="9">
        <f ca="1" t="shared" si="6"/>
        <v>0</v>
      </c>
      <c r="N44" s="74" t="str">
        <f ca="1" t="shared" si="7"/>
        <v xml:space="preserve">-         </v>
      </c>
    </row>
    <row r="45" spans="2:14" ht="12.75" customHeight="1">
      <c r="B45" s="63">
        <f t="shared" si="9"/>
        <v>13</v>
      </c>
      <c r="C45" s="1" t="str">
        <f>Jahreswerte!F35</f>
        <v>Sonstige Passiva</v>
      </c>
      <c r="E45" s="12">
        <f ca="1">SUM(OFFSET(Monatswerte!E41,,,,1+$R$5))</f>
        <v>0</v>
      </c>
      <c r="F45" s="10" t="str">
        <f ca="1" t="shared" si="8"/>
        <v xml:space="preserve">-       </v>
      </c>
      <c r="G45" s="64"/>
      <c r="I45" s="239"/>
      <c r="J45" s="11" t="str">
        <f t="shared" si="5"/>
        <v xml:space="preserve">-       </v>
      </c>
      <c r="K45" s="74"/>
      <c r="M45" s="9">
        <f ca="1" t="shared" si="6"/>
        <v>0</v>
      </c>
      <c r="N45" s="74" t="str">
        <f ca="1" t="shared" si="7"/>
        <v xml:space="preserve">-         </v>
      </c>
    </row>
    <row r="46" spans="2:14" s="201" customFormat="1" ht="15" customHeight="1">
      <c r="B46" s="94">
        <f>B45+1</f>
        <v>14</v>
      </c>
      <c r="C46" s="201" t="str">
        <f>Jahreswerte!F37</f>
        <v>kurzfr. Bankverb.</v>
      </c>
      <c r="E46" s="242">
        <f ca="1">OFFSET(Monatswerte!E73,,$R$5)</f>
        <v>0</v>
      </c>
      <c r="F46" s="228" t="str">
        <f ca="1" t="shared" si="8"/>
        <v xml:space="preserve">-       </v>
      </c>
      <c r="G46" s="249"/>
      <c r="H46" s="97"/>
      <c r="I46" s="240"/>
      <c r="J46" s="101" t="str">
        <f t="shared" si="5"/>
        <v xml:space="preserve">-       </v>
      </c>
      <c r="K46" s="250"/>
      <c r="M46" s="100">
        <f ca="1" t="shared" si="6"/>
        <v>0</v>
      </c>
      <c r="N46" s="102" t="str">
        <f ca="1" t="shared" si="7"/>
        <v xml:space="preserve">-         </v>
      </c>
    </row>
    <row r="47" spans="2:14" s="227" customFormat="1" ht="17.25" customHeight="1">
      <c r="B47" s="217">
        <f t="shared" si="9"/>
        <v>15</v>
      </c>
      <c r="C47" s="219" t="str">
        <f>Jahreswerte!S39</f>
        <v>Bilanzsumme</v>
      </c>
      <c r="D47" s="219"/>
      <c r="E47" s="220">
        <f ca="1">SUM(E41:E46)</f>
        <v>0</v>
      </c>
      <c r="F47" s="229" t="str">
        <f ca="1" t="shared" si="8"/>
        <v xml:space="preserve">-       </v>
      </c>
      <c r="G47" s="229"/>
      <c r="H47" s="231"/>
      <c r="I47" s="220">
        <f>SUM(I41:I46)</f>
        <v>0</v>
      </c>
      <c r="J47" s="226" t="str">
        <f t="shared" si="5"/>
        <v xml:space="preserve">-       </v>
      </c>
      <c r="K47" s="226"/>
      <c r="L47" s="219"/>
      <c r="M47" s="220">
        <f ca="1" t="shared" si="6"/>
        <v>0</v>
      </c>
      <c r="N47" s="221" t="str">
        <f ca="1" t="shared" si="7"/>
        <v xml:space="preserve">-         </v>
      </c>
    </row>
    <row r="48" ht="6" customHeight="1"/>
  </sheetData>
  <sheetProtection password="DD7A" sheet="1" objects="1" scenarios="1"/>
  <mergeCells count="13">
    <mergeCell ref="E31:F31"/>
    <mergeCell ref="I31:J31"/>
    <mergeCell ref="M31:N31"/>
    <mergeCell ref="I30:N30"/>
    <mergeCell ref="B30:H30"/>
    <mergeCell ref="M1:N1"/>
    <mergeCell ref="M2:N2"/>
    <mergeCell ref="I10:N10"/>
    <mergeCell ref="I11:J11"/>
    <mergeCell ref="B10:H10"/>
    <mergeCell ref="E11:F11"/>
    <mergeCell ref="M11:N11"/>
    <mergeCell ref="C5:D6"/>
  </mergeCells>
  <conditionalFormatting sqref="B16:N16 B19:N19 B21:N21 B25:N25 B28:N28 B40:N40 B47:N47 B4:N4 B8:N8 E5:N7 B7:C7 B5:B6">
    <cfRule type="expression" priority="81" dxfId="1" stopIfTrue="1">
      <formula>$E$1="grau"</formula>
    </cfRule>
  </conditionalFormatting>
  <conditionalFormatting sqref="A1:XFD4 A8:XFD1048576 E5:XFD7 A7:C7 A5:B6">
    <cfRule type="expression" priority="11" dxfId="0" stopIfTrue="1">
      <formula>AND($E$2="ja",CELL("schutz",A1)=0)</formula>
    </cfRule>
  </conditionalFormatting>
  <conditionalFormatting sqref="D7">
    <cfRule type="expression" priority="4" dxfId="1" stopIfTrue="1">
      <formula>$E$1="grau"</formula>
    </cfRule>
  </conditionalFormatting>
  <conditionalFormatting sqref="D7">
    <cfRule type="expression" priority="3" dxfId="0" stopIfTrue="1">
      <formula>AND($E$2="ja",CELL("schutz",D7)=0)</formula>
    </cfRule>
  </conditionalFormatting>
  <conditionalFormatting sqref="C5">
    <cfRule type="expression" priority="1" dxfId="1" stopIfTrue="1">
      <formula>$E$1="grau"</formula>
    </cfRule>
  </conditionalFormatting>
  <conditionalFormatting sqref="C5">
    <cfRule type="expression" priority="2" dxfId="0" stopIfTrue="1">
      <formula>AND($M$1="ja",CELL("schutz",C5)=0)</formula>
    </cfRule>
  </conditionalFormatting>
  <dataValidations count="4">
    <dataValidation type="list" allowBlank="1" showInputMessage="1" showErrorMessage="1" sqref="E3">
      <formula1>"grau,blau"</formula1>
    </dataValidation>
    <dataValidation type="list" allowBlank="1" showInputMessage="1" showErrorMessage="1" sqref="E1">
      <formula1>"blau,grau"</formula1>
    </dataValidation>
    <dataValidation type="list" allowBlank="1" showInputMessage="1" showErrorMessage="1" sqref="E2">
      <formula1>"Ja,Nein"</formula1>
    </dataValidation>
    <dataValidation type="list" allowBlank="1" showInputMessage="1" showErrorMessage="1" error="Bitte wählen Sie einen gültigen Monat aus." sqref="M1:N2">
      <formula1>$Q$1:$AB$1</formula1>
    </dataValidation>
  </dataValidation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6"/>
  <sheetViews>
    <sheetView showGridLines="0" showRowColHeaders="0" zoomScale="120" zoomScaleNormal="120" workbookViewId="0" topLeftCell="A1">
      <selection activeCell="R11" sqref="R11"/>
    </sheetView>
  </sheetViews>
  <sheetFormatPr defaultColWidth="11.421875" defaultRowHeight="12.75" customHeight="1"/>
  <cols>
    <col min="1" max="1" width="0.85546875" style="1" customWidth="1"/>
    <col min="2" max="2" width="2.7109375" style="2" customWidth="1"/>
    <col min="3" max="3" width="11.7109375" style="1" customWidth="1"/>
    <col min="4" max="4" width="18.7109375" style="1" customWidth="1"/>
    <col min="5" max="5" width="9.7109375" style="1" customWidth="1"/>
    <col min="6" max="6" width="7.7109375" style="3" customWidth="1"/>
    <col min="7" max="7" width="1.7109375" style="3" customWidth="1"/>
    <col min="8" max="8" width="2.140625" style="2" customWidth="1"/>
    <col min="9" max="9" width="9.7109375" style="1" customWidth="1"/>
    <col min="10" max="10" width="7.7109375" style="2" customWidth="1"/>
    <col min="11" max="11" width="1.7109375" style="2" customWidth="1"/>
    <col min="12" max="12" width="1.7109375" style="1" customWidth="1"/>
    <col min="13" max="13" width="9.7109375" style="1" customWidth="1"/>
    <col min="14" max="14" width="7.7109375" style="17" customWidth="1"/>
    <col min="15" max="15" width="0.85546875" style="1" customWidth="1"/>
    <col min="16" max="17" width="11.421875" style="1" customWidth="1"/>
    <col min="18" max="16384" width="11.421875" style="1" customWidth="1"/>
  </cols>
  <sheetData>
    <row r="1" spans="4:17" s="305" customFormat="1" ht="15" customHeight="1">
      <c r="D1" s="37" t="s">
        <v>48</v>
      </c>
      <c r="E1" s="306" t="s">
        <v>49</v>
      </c>
      <c r="F1" s="41"/>
      <c r="G1" s="41"/>
      <c r="I1" s="116"/>
      <c r="J1" s="116"/>
      <c r="K1" s="116"/>
      <c r="L1" s="37" t="s">
        <v>38</v>
      </c>
      <c r="M1" s="42" t="s">
        <v>39</v>
      </c>
      <c r="N1" s="116"/>
      <c r="O1" s="116"/>
      <c r="P1" s="116"/>
      <c r="Q1" s="116"/>
    </row>
    <row r="2" spans="4:5" ht="5.25" customHeight="1">
      <c r="D2" s="7"/>
      <c r="E2" s="30"/>
    </row>
    <row r="3" spans="2:14" ht="6" customHeight="1">
      <c r="B3" s="45"/>
      <c r="C3" s="50"/>
      <c r="D3" s="46"/>
      <c r="E3" s="47"/>
      <c r="F3" s="48"/>
      <c r="G3" s="48"/>
      <c r="H3" s="49"/>
      <c r="I3" s="50"/>
      <c r="J3" s="49"/>
      <c r="K3" s="49"/>
      <c r="L3" s="50"/>
      <c r="M3" s="50"/>
      <c r="N3" s="51"/>
    </row>
    <row r="4" spans="2:14" ht="18" customHeight="1">
      <c r="B4" s="52"/>
      <c r="C4" s="364" t="s">
        <v>201</v>
      </c>
      <c r="D4" s="364"/>
      <c r="E4" s="35" t="s">
        <v>202</v>
      </c>
      <c r="F4" s="24"/>
      <c r="G4" s="24"/>
      <c r="H4" s="114"/>
      <c r="I4" s="346"/>
      <c r="J4" s="346"/>
      <c r="K4" s="346"/>
      <c r="L4" s="346"/>
      <c r="M4" s="346"/>
      <c r="N4" s="346">
        <f>Jahreswerte!M4</f>
        <v>0</v>
      </c>
    </row>
    <row r="5" spans="2:14" ht="12.75" customHeight="1">
      <c r="B5" s="52"/>
      <c r="C5" s="364"/>
      <c r="D5" s="364"/>
      <c r="E5" s="255">
        <f>Jahreswerte!D5</f>
        <v>0</v>
      </c>
      <c r="F5" s="24"/>
      <c r="G5" s="24"/>
      <c r="H5" s="114"/>
      <c r="I5" s="346"/>
      <c r="J5" s="346"/>
      <c r="K5" s="346"/>
      <c r="L5" s="346"/>
      <c r="M5" s="346"/>
      <c r="N5" s="346">
        <f>Jahreswerte!M5</f>
        <v>0</v>
      </c>
    </row>
    <row r="6" spans="2:14" s="303" customFormat="1" ht="15">
      <c r="B6" s="257"/>
      <c r="C6" s="258"/>
      <c r="D6" s="27"/>
      <c r="E6" s="256" t="str">
        <f>Jahreswerte!F6</f>
        <v>Version 2020.02 - www.rdg-gmbh.de</v>
      </c>
      <c r="F6" s="259"/>
      <c r="G6" s="259"/>
      <c r="H6" s="260"/>
      <c r="I6" s="260"/>
      <c r="J6" s="260"/>
      <c r="K6" s="258"/>
      <c r="L6" s="258"/>
      <c r="M6" s="258">
        <f>Jahreswerte!M6</f>
        <v>2020</v>
      </c>
      <c r="N6" s="261" t="str">
        <f>IF(ISNUMBER(Jahreswerte!P6)," / "&amp;Jahreswerte!P6,"")</f>
        <v/>
      </c>
    </row>
    <row r="7" spans="2:14" ht="6" customHeight="1">
      <c r="B7" s="54"/>
      <c r="C7" s="55"/>
      <c r="D7" s="55"/>
      <c r="E7" s="55"/>
      <c r="F7" s="56"/>
      <c r="G7" s="56"/>
      <c r="H7" s="57"/>
      <c r="I7" s="55"/>
      <c r="J7" s="57"/>
      <c r="K7" s="57"/>
      <c r="L7" s="55"/>
      <c r="M7" s="55"/>
      <c r="N7" s="58"/>
    </row>
    <row r="8" spans="2:14" ht="6" customHeight="1">
      <c r="B8" s="31"/>
      <c r="C8" s="32"/>
      <c r="D8" s="32"/>
      <c r="E8" s="32"/>
      <c r="F8" s="33"/>
      <c r="G8" s="33"/>
      <c r="H8" s="31"/>
      <c r="I8" s="32"/>
      <c r="J8" s="31"/>
      <c r="K8" s="31"/>
      <c r="L8" s="32"/>
      <c r="M8" s="32"/>
      <c r="N8" s="34"/>
    </row>
    <row r="9" spans="2:14" s="233" customFormat="1" ht="24" customHeight="1">
      <c r="B9" s="396" t="s">
        <v>147</v>
      </c>
      <c r="C9" s="414"/>
      <c r="D9" s="414"/>
      <c r="E9" s="414"/>
      <c r="F9" s="415"/>
      <c r="G9" s="415"/>
      <c r="H9" s="415"/>
      <c r="I9" s="421"/>
      <c r="J9" s="421"/>
      <c r="K9" s="421"/>
      <c r="L9" s="421"/>
      <c r="M9" s="421"/>
      <c r="N9" s="422"/>
    </row>
    <row r="10" spans="2:14" s="233" customFormat="1" ht="20.1" customHeight="1">
      <c r="B10" s="234" t="str">
        <f>IF(ISNUMBER(#REF!),#REF!-1,"")&amp;IF(ISNUMBER(#REF!)," / "&amp;#REF!-1,"")</f>
        <v/>
      </c>
      <c r="C10" s="307"/>
      <c r="D10" s="307"/>
      <c r="E10" s="413" t="str">
        <f>"Ist-GuV "&amp;Jahreswerte!B10</f>
        <v>Ist-GuV 2019</v>
      </c>
      <c r="F10" s="416"/>
      <c r="G10" s="308"/>
      <c r="I10" s="413" t="str">
        <f>Jahreswerte!M10</f>
        <v>Plan-GuV 2020</v>
      </c>
      <c r="J10" s="413"/>
      <c r="K10" s="248"/>
      <c r="M10" s="413" t="s">
        <v>160</v>
      </c>
      <c r="N10" s="417"/>
    </row>
    <row r="11" spans="2:14" s="5" customFormat="1" ht="12.75">
      <c r="B11" s="61"/>
      <c r="C11" s="30"/>
      <c r="E11" s="5" t="s">
        <v>8</v>
      </c>
      <c r="F11" s="5" t="s">
        <v>34</v>
      </c>
      <c r="G11" s="62"/>
      <c r="I11" s="5" t="s">
        <v>8</v>
      </c>
      <c r="J11" s="5" t="s">
        <v>34</v>
      </c>
      <c r="K11" s="62"/>
      <c r="N11" s="62"/>
    </row>
    <row r="12" spans="2:14" ht="15" customHeight="1">
      <c r="B12" s="63">
        <v>1</v>
      </c>
      <c r="C12" s="1" t="str">
        <f>Jahreswerte!C12</f>
        <v>Umsatz</v>
      </c>
      <c r="E12" s="12">
        <f>Jahreswerte!D12</f>
        <v>0</v>
      </c>
      <c r="F12" s="10" t="str">
        <f aca="true" t="shared" si="0" ref="F12:F36">IF(E$15=0,"-       ",E12/$E$15%)</f>
        <v xml:space="preserve">-       </v>
      </c>
      <c r="G12" s="10"/>
      <c r="H12" s="63"/>
      <c r="I12" s="309">
        <f>Jahreswerte!Q12</f>
        <v>0</v>
      </c>
      <c r="J12" s="10" t="str">
        <f aca="true" t="shared" si="1" ref="J12:J36">IF(I$15=0,"-       ",I12/$I$15%)</f>
        <v xml:space="preserve">-       </v>
      </c>
      <c r="K12" s="10"/>
      <c r="L12" s="423"/>
      <c r="M12" s="424"/>
      <c r="N12" s="425"/>
    </row>
    <row r="13" spans="2:14" ht="12.75">
      <c r="B13" s="63">
        <f>B12+1</f>
        <v>2</v>
      </c>
      <c r="C13" s="1" t="str">
        <f>Jahreswerte!C13</f>
        <v>Bestandsveränderungen</v>
      </c>
      <c r="E13" s="12">
        <f>Jahreswerte!D13</f>
        <v>0</v>
      </c>
      <c r="F13" s="10" t="str">
        <f t="shared" si="0"/>
        <v xml:space="preserve">-       </v>
      </c>
      <c r="G13" s="10"/>
      <c r="H13" s="63"/>
      <c r="I13" s="309">
        <f>Jahreswerte!Q13</f>
        <v>0</v>
      </c>
      <c r="J13" s="11" t="str">
        <f t="shared" si="1"/>
        <v xml:space="preserve">-       </v>
      </c>
      <c r="K13" s="11"/>
      <c r="L13" s="423"/>
      <c r="M13" s="424"/>
      <c r="N13" s="425"/>
    </row>
    <row r="14" spans="2:14" s="303" customFormat="1" ht="15" customHeight="1">
      <c r="B14" s="94">
        <f aca="true" t="shared" si="2" ref="B14:B24">B13+1</f>
        <v>3</v>
      </c>
      <c r="C14" s="303" t="str">
        <f>Jahreswerte!C14</f>
        <v>Aktivierte Eigenleistungen</v>
      </c>
      <c r="E14" s="236">
        <f>Jahreswerte!D14</f>
        <v>0</v>
      </c>
      <c r="F14" s="228" t="str">
        <f t="shared" si="0"/>
        <v xml:space="preserve">-       </v>
      </c>
      <c r="G14" s="228"/>
      <c r="H14" s="182"/>
      <c r="I14" s="310">
        <f>Jahreswerte!Q14</f>
        <v>0</v>
      </c>
      <c r="J14" s="101" t="str">
        <f t="shared" si="1"/>
        <v xml:space="preserve">-       </v>
      </c>
      <c r="K14" s="101"/>
      <c r="L14" s="426"/>
      <c r="M14" s="427"/>
      <c r="N14" s="428"/>
    </row>
    <row r="15" spans="2:14" s="227" customFormat="1" ht="17.25" customHeight="1">
      <c r="B15" s="217">
        <f t="shared" si="2"/>
        <v>4</v>
      </c>
      <c r="C15" s="304" t="str">
        <f>Jahreswerte!C15</f>
        <v>Gesamtleistung</v>
      </c>
      <c r="D15" s="304"/>
      <c r="E15" s="220">
        <f>E12+E13+E14</f>
        <v>0</v>
      </c>
      <c r="F15" s="229" t="str">
        <f t="shared" si="0"/>
        <v xml:space="preserve">-       </v>
      </c>
      <c r="G15" s="229"/>
      <c r="H15" s="231"/>
      <c r="I15" s="220">
        <f>I12+I13+I14</f>
        <v>0</v>
      </c>
      <c r="J15" s="226" t="str">
        <f t="shared" si="1"/>
        <v xml:space="preserve">-       </v>
      </c>
      <c r="K15" s="226"/>
      <c r="L15" s="304"/>
      <c r="M15" s="220"/>
      <c r="N15" s="221"/>
    </row>
    <row r="16" spans="2:14" ht="15" customHeight="1">
      <c r="B16" s="63">
        <f t="shared" si="2"/>
        <v>5</v>
      </c>
      <c r="C16" s="1" t="str">
        <f>Jahreswerte!C16</f>
        <v>Materialaufwand</v>
      </c>
      <c r="E16" s="237">
        <f>Jahreswerte!D16</f>
        <v>0</v>
      </c>
      <c r="F16" s="10" t="str">
        <f t="shared" si="0"/>
        <v xml:space="preserve">-       </v>
      </c>
      <c r="G16" s="10"/>
      <c r="H16" s="63"/>
      <c r="I16" s="309">
        <f>Jahreswerte!Q16</f>
        <v>0</v>
      </c>
      <c r="J16" s="11" t="str">
        <f t="shared" si="1"/>
        <v xml:space="preserve">-       </v>
      </c>
      <c r="K16" s="11"/>
      <c r="L16" s="429"/>
      <c r="M16" s="430"/>
      <c r="N16" s="431"/>
    </row>
    <row r="17" spans="2:14" s="303" customFormat="1" ht="15" customHeight="1">
      <c r="B17" s="103" t="str">
        <f>B16&amp;"a"</f>
        <v>5a</v>
      </c>
      <c r="C17" s="122" t="str">
        <f>Jahreswerte!C17</f>
        <v xml:space="preserve">   davon Fremdleister</v>
      </c>
      <c r="E17" s="236">
        <f>Jahreswerte!D17</f>
        <v>0</v>
      </c>
      <c r="F17" s="228" t="str">
        <f t="shared" si="0"/>
        <v xml:space="preserve">-       </v>
      </c>
      <c r="G17" s="228"/>
      <c r="H17" s="182"/>
      <c r="I17" s="310">
        <f>Jahreswerte!Q17</f>
        <v>0</v>
      </c>
      <c r="J17" s="101" t="str">
        <f t="shared" si="1"/>
        <v xml:space="preserve">-       </v>
      </c>
      <c r="K17" s="101"/>
      <c r="L17" s="426"/>
      <c r="M17" s="427"/>
      <c r="N17" s="428"/>
    </row>
    <row r="18" spans="2:14" s="227" customFormat="1" ht="17.25" customHeight="1">
      <c r="B18" s="217">
        <f>B16+1</f>
        <v>6</v>
      </c>
      <c r="C18" s="304" t="str">
        <f>Jahreswerte!C18</f>
        <v>Rohertrag (DB I)</v>
      </c>
      <c r="D18" s="304"/>
      <c r="E18" s="220">
        <f>E15-E16</f>
        <v>0</v>
      </c>
      <c r="F18" s="229" t="str">
        <f t="shared" si="0"/>
        <v xml:space="preserve">-       </v>
      </c>
      <c r="G18" s="229"/>
      <c r="H18" s="231"/>
      <c r="I18" s="220">
        <f>I15-I16</f>
        <v>0</v>
      </c>
      <c r="J18" s="226" t="str">
        <f t="shared" si="1"/>
        <v xml:space="preserve">-       </v>
      </c>
      <c r="K18" s="226"/>
      <c r="L18" s="304"/>
      <c r="M18" s="220"/>
      <c r="N18" s="221"/>
    </row>
    <row r="19" spans="2:14" s="305" customFormat="1" ht="17.25" customHeight="1">
      <c r="B19" s="82">
        <f t="shared" si="2"/>
        <v>7</v>
      </c>
      <c r="C19" s="305" t="str">
        <f>Jahreswerte!C19</f>
        <v>Personalaufwand</v>
      </c>
      <c r="E19" s="238">
        <f>Jahreswerte!D19</f>
        <v>0</v>
      </c>
      <c r="F19" s="230" t="str">
        <f t="shared" si="0"/>
        <v xml:space="preserve">-       </v>
      </c>
      <c r="G19" s="230"/>
      <c r="H19" s="243"/>
      <c r="I19" s="311">
        <f>Jahreswerte!Q19</f>
        <v>0</v>
      </c>
      <c r="J19" s="91" t="str">
        <f t="shared" si="1"/>
        <v xml:space="preserve">-       </v>
      </c>
      <c r="K19" s="91"/>
      <c r="L19" s="418"/>
      <c r="M19" s="419"/>
      <c r="N19" s="420"/>
    </row>
    <row r="20" spans="2:14" s="227" customFormat="1" ht="17.25" customHeight="1">
      <c r="B20" s="217">
        <f t="shared" si="2"/>
        <v>8</v>
      </c>
      <c r="C20" s="304" t="str">
        <f>Jahreswerte!C20</f>
        <v>Deckungsbeitrag II</v>
      </c>
      <c r="D20" s="304"/>
      <c r="E20" s="220">
        <f>E18-E19</f>
        <v>0</v>
      </c>
      <c r="F20" s="229" t="str">
        <f t="shared" si="0"/>
        <v xml:space="preserve">-       </v>
      </c>
      <c r="G20" s="229"/>
      <c r="H20" s="231"/>
      <c r="I20" s="220">
        <f>I18-I19</f>
        <v>0</v>
      </c>
      <c r="J20" s="226" t="str">
        <f t="shared" si="1"/>
        <v xml:space="preserve">-       </v>
      </c>
      <c r="K20" s="226"/>
      <c r="L20" s="304"/>
      <c r="M20" s="220"/>
      <c r="N20" s="221"/>
    </row>
    <row r="21" spans="2:14" ht="15" customHeight="1">
      <c r="B21" s="63">
        <f t="shared" si="2"/>
        <v>9</v>
      </c>
      <c r="C21" s="1" t="str">
        <f>Jahreswerte!C21</f>
        <v>Abschreibungen</v>
      </c>
      <c r="E21" s="12">
        <f>Jahreswerte!D21</f>
        <v>0</v>
      </c>
      <c r="F21" s="10" t="str">
        <f t="shared" si="0"/>
        <v xml:space="preserve">-       </v>
      </c>
      <c r="G21" s="10"/>
      <c r="H21" s="63"/>
      <c r="I21" s="309">
        <f>Jahreswerte!Q21</f>
        <v>0</v>
      </c>
      <c r="J21" s="11" t="str">
        <f t="shared" si="1"/>
        <v xml:space="preserve">-       </v>
      </c>
      <c r="K21" s="11"/>
      <c r="L21" s="429"/>
      <c r="M21" s="430"/>
      <c r="N21" s="431"/>
    </row>
    <row r="22" spans="2:14" ht="12.75">
      <c r="B22" s="63">
        <f t="shared" si="2"/>
        <v>10</v>
      </c>
      <c r="C22" s="1" t="str">
        <f>Jahreswerte!C22</f>
        <v>Zinsaufwand</v>
      </c>
      <c r="E22" s="12">
        <f>Jahreswerte!D22</f>
        <v>0</v>
      </c>
      <c r="F22" s="10" t="str">
        <f t="shared" si="0"/>
        <v xml:space="preserve">-       </v>
      </c>
      <c r="G22" s="10"/>
      <c r="H22" s="63"/>
      <c r="I22" s="309">
        <f>Jahreswerte!Q22</f>
        <v>0</v>
      </c>
      <c r="J22" s="11" t="str">
        <f t="shared" si="1"/>
        <v xml:space="preserve">-       </v>
      </c>
      <c r="K22" s="11"/>
      <c r="L22" s="423"/>
      <c r="M22" s="424"/>
      <c r="N22" s="425"/>
    </row>
    <row r="23" spans="2:14" s="303" customFormat="1" ht="15" customHeight="1">
      <c r="B23" s="94">
        <f t="shared" si="2"/>
        <v>11</v>
      </c>
      <c r="C23" s="303" t="str">
        <f>Jahreswerte!C23</f>
        <v>Sonstiger Aufwand</v>
      </c>
      <c r="E23" s="236">
        <f>Jahreswerte!D23</f>
        <v>0</v>
      </c>
      <c r="F23" s="228" t="str">
        <f t="shared" si="0"/>
        <v xml:space="preserve">-       </v>
      </c>
      <c r="G23" s="228"/>
      <c r="H23" s="182"/>
      <c r="I23" s="310">
        <f>Jahreswerte!Q23</f>
        <v>0</v>
      </c>
      <c r="J23" s="101" t="str">
        <f t="shared" si="1"/>
        <v xml:space="preserve">-       </v>
      </c>
      <c r="K23" s="101"/>
      <c r="L23" s="426"/>
      <c r="M23" s="427"/>
      <c r="N23" s="428"/>
    </row>
    <row r="24" spans="2:14" s="227" customFormat="1" ht="17.25" customHeight="1">
      <c r="B24" s="217">
        <f t="shared" si="2"/>
        <v>12</v>
      </c>
      <c r="C24" s="304" t="str">
        <f>Jahreswerte!C24</f>
        <v>Betriebsergebnis</v>
      </c>
      <c r="D24" s="304"/>
      <c r="E24" s="220">
        <f>E20-E21-E22-E23</f>
        <v>0</v>
      </c>
      <c r="F24" s="229" t="str">
        <f t="shared" si="0"/>
        <v xml:space="preserve">-       </v>
      </c>
      <c r="G24" s="229"/>
      <c r="H24" s="231"/>
      <c r="I24" s="220">
        <f>I20-I21-I22-I23</f>
        <v>0</v>
      </c>
      <c r="J24" s="226" t="str">
        <f t="shared" si="1"/>
        <v xml:space="preserve">-       </v>
      </c>
      <c r="K24" s="226"/>
      <c r="L24" s="304"/>
      <c r="M24" s="220"/>
      <c r="N24" s="221"/>
    </row>
    <row r="25" spans="2:14" ht="15" customHeight="1">
      <c r="B25" s="63">
        <f>B24+1</f>
        <v>13</v>
      </c>
      <c r="C25" s="312" t="s">
        <v>148</v>
      </c>
      <c r="E25" s="12">
        <f>E21</f>
        <v>0</v>
      </c>
      <c r="F25" s="10" t="str">
        <f t="shared" si="0"/>
        <v xml:space="preserve">-       </v>
      </c>
      <c r="G25" s="64"/>
      <c r="I25" s="12">
        <f>I21</f>
        <v>0</v>
      </c>
      <c r="J25" s="10" t="str">
        <f t="shared" si="1"/>
        <v xml:space="preserve">-       </v>
      </c>
      <c r="K25" s="64"/>
      <c r="L25" s="429"/>
      <c r="M25" s="430"/>
      <c r="N25" s="431"/>
    </row>
    <row r="26" spans="2:14" s="303" customFormat="1" ht="15" customHeight="1">
      <c r="B26" s="94">
        <f>B25+1</f>
        <v>14</v>
      </c>
      <c r="C26" s="313" t="s">
        <v>149</v>
      </c>
      <c r="E26" s="236">
        <f>E22</f>
        <v>0</v>
      </c>
      <c r="F26" s="228" t="str">
        <f t="shared" si="0"/>
        <v xml:space="preserve">-       </v>
      </c>
      <c r="G26" s="249"/>
      <c r="H26" s="97"/>
      <c r="I26" s="236">
        <f>I22</f>
        <v>0</v>
      </c>
      <c r="J26" s="101" t="str">
        <f t="shared" si="1"/>
        <v xml:space="preserve">-       </v>
      </c>
      <c r="K26" s="250"/>
      <c r="L26" s="426"/>
      <c r="M26" s="427"/>
      <c r="N26" s="428"/>
    </row>
    <row r="27" spans="2:14" s="227" customFormat="1" ht="17.25" customHeight="1">
      <c r="B27" s="217">
        <f aca="true" t="shared" si="3" ref="B27:B35">B26+1</f>
        <v>15</v>
      </c>
      <c r="C27" s="304" t="s">
        <v>150</v>
      </c>
      <c r="D27" s="304"/>
      <c r="E27" s="220">
        <f>E24+E25+E26</f>
        <v>0</v>
      </c>
      <c r="F27" s="229" t="str">
        <f t="shared" si="0"/>
        <v xml:space="preserve">-       </v>
      </c>
      <c r="G27" s="229"/>
      <c r="H27" s="231"/>
      <c r="I27" s="220">
        <f>I24+I25+I26</f>
        <v>0</v>
      </c>
      <c r="J27" s="226" t="str">
        <f t="shared" si="1"/>
        <v xml:space="preserve">-       </v>
      </c>
      <c r="K27" s="226"/>
      <c r="L27" s="304"/>
      <c r="M27" s="220"/>
      <c r="N27" s="221"/>
    </row>
    <row r="28" spans="2:14" ht="15" customHeight="1">
      <c r="B28" s="63">
        <f t="shared" si="3"/>
        <v>16</v>
      </c>
      <c r="C28" s="312" t="s">
        <v>151</v>
      </c>
      <c r="E28" s="6"/>
      <c r="F28" s="10" t="str">
        <f t="shared" si="0"/>
        <v xml:space="preserve">-       </v>
      </c>
      <c r="G28" s="64"/>
      <c r="I28" s="239"/>
      <c r="J28" s="11" t="str">
        <f t="shared" si="1"/>
        <v xml:space="preserve">-       </v>
      </c>
      <c r="K28" s="74"/>
      <c r="L28" s="429"/>
      <c r="M28" s="430"/>
      <c r="N28" s="431"/>
    </row>
    <row r="29" spans="2:14" ht="12.75" customHeight="1">
      <c r="B29" s="63">
        <f t="shared" si="3"/>
        <v>17</v>
      </c>
      <c r="C29" s="312" t="s">
        <v>152</v>
      </c>
      <c r="E29" s="6"/>
      <c r="F29" s="10" t="str">
        <f t="shared" si="0"/>
        <v xml:space="preserve">-       </v>
      </c>
      <c r="G29" s="64"/>
      <c r="I29" s="239"/>
      <c r="J29" s="11" t="str">
        <f t="shared" si="1"/>
        <v xml:space="preserve">-       </v>
      </c>
      <c r="K29" s="74"/>
      <c r="L29" s="423"/>
      <c r="M29" s="424"/>
      <c r="N29" s="425"/>
    </row>
    <row r="30" spans="2:14" ht="12.75" customHeight="1">
      <c r="B30" s="63">
        <f t="shared" si="3"/>
        <v>18</v>
      </c>
      <c r="C30" s="312" t="s">
        <v>153</v>
      </c>
      <c r="E30" s="6"/>
      <c r="F30" s="10" t="str">
        <f t="shared" si="0"/>
        <v xml:space="preserve">-       </v>
      </c>
      <c r="G30" s="64"/>
      <c r="I30" s="239"/>
      <c r="J30" s="11" t="str">
        <f t="shared" si="1"/>
        <v xml:space="preserve">-       </v>
      </c>
      <c r="K30" s="74"/>
      <c r="L30" s="423"/>
      <c r="M30" s="424"/>
      <c r="N30" s="425"/>
    </row>
    <row r="31" spans="2:14" s="303" customFormat="1" ht="15" customHeight="1">
      <c r="B31" s="94">
        <f>B30+1</f>
        <v>19</v>
      </c>
      <c r="C31" s="313" t="s">
        <v>154</v>
      </c>
      <c r="E31" s="314"/>
      <c r="F31" s="228" t="str">
        <f t="shared" si="0"/>
        <v xml:space="preserve">-       </v>
      </c>
      <c r="G31" s="249"/>
      <c r="H31" s="97"/>
      <c r="I31" s="240"/>
      <c r="J31" s="101" t="str">
        <f t="shared" si="1"/>
        <v xml:space="preserve">-       </v>
      </c>
      <c r="K31" s="250"/>
      <c r="L31" s="426"/>
      <c r="M31" s="427"/>
      <c r="N31" s="428"/>
    </row>
    <row r="32" spans="2:14" s="227" customFormat="1" ht="17.25" customHeight="1">
      <c r="B32" s="217">
        <f t="shared" si="3"/>
        <v>20</v>
      </c>
      <c r="C32" s="304" t="s">
        <v>155</v>
      </c>
      <c r="D32" s="304"/>
      <c r="E32" s="220">
        <f>E27-E28-E29-E30+E31</f>
        <v>0</v>
      </c>
      <c r="F32" s="229" t="str">
        <f t="shared" si="0"/>
        <v xml:space="preserve">-       </v>
      </c>
      <c r="G32" s="229"/>
      <c r="H32" s="231"/>
      <c r="I32" s="220">
        <f>I27-I28-I29-I30+I31</f>
        <v>0</v>
      </c>
      <c r="J32" s="226" t="str">
        <f t="shared" si="1"/>
        <v xml:space="preserve">-       </v>
      </c>
      <c r="K32" s="226"/>
      <c r="L32" s="304"/>
      <c r="M32" s="220"/>
      <c r="N32" s="221"/>
    </row>
    <row r="33" spans="2:14" ht="15" customHeight="1">
      <c r="B33" s="63">
        <f t="shared" si="3"/>
        <v>21</v>
      </c>
      <c r="C33" s="312" t="s">
        <v>156</v>
      </c>
      <c r="E33" s="6">
        <f>E34+E35</f>
        <v>0</v>
      </c>
      <c r="F33" s="10" t="str">
        <f t="shared" si="0"/>
        <v xml:space="preserve">-       </v>
      </c>
      <c r="G33" s="64"/>
      <c r="I33" s="6">
        <f>I34+I35</f>
        <v>0</v>
      </c>
      <c r="J33" s="11" t="str">
        <f t="shared" si="1"/>
        <v xml:space="preserve">-       </v>
      </c>
      <c r="K33" s="74"/>
      <c r="L33" s="429"/>
      <c r="M33" s="430"/>
      <c r="N33" s="431"/>
    </row>
    <row r="34" spans="2:14" ht="12.75" customHeight="1">
      <c r="B34" s="63">
        <f t="shared" si="3"/>
        <v>22</v>
      </c>
      <c r="C34" s="312" t="s">
        <v>157</v>
      </c>
      <c r="E34" s="6">
        <f>E22</f>
        <v>0</v>
      </c>
      <c r="F34" s="10" t="str">
        <f t="shared" si="0"/>
        <v xml:space="preserve">-       </v>
      </c>
      <c r="G34" s="64"/>
      <c r="I34" s="6">
        <f>I22</f>
        <v>0</v>
      </c>
      <c r="J34" s="11" t="str">
        <f t="shared" si="1"/>
        <v xml:space="preserve">-       </v>
      </c>
      <c r="K34" s="74"/>
      <c r="L34" s="423"/>
      <c r="M34" s="424"/>
      <c r="N34" s="425"/>
    </row>
    <row r="35" spans="2:14" s="303" customFormat="1" ht="15" customHeight="1">
      <c r="B35" s="94">
        <f t="shared" si="3"/>
        <v>23</v>
      </c>
      <c r="C35" s="313" t="s">
        <v>158</v>
      </c>
      <c r="E35" s="314"/>
      <c r="F35" s="228" t="str">
        <f t="shared" si="0"/>
        <v xml:space="preserve">-       </v>
      </c>
      <c r="G35" s="96"/>
      <c r="H35" s="97"/>
      <c r="I35" s="240"/>
      <c r="J35" s="101" t="str">
        <f t="shared" si="1"/>
        <v xml:space="preserve">-       </v>
      </c>
      <c r="K35" s="102"/>
      <c r="L35" s="426"/>
      <c r="M35" s="427"/>
      <c r="N35" s="428"/>
    </row>
    <row r="36" spans="2:14" s="227" customFormat="1" ht="17.25" customHeight="1">
      <c r="B36" s="217">
        <f>B35+1</f>
        <v>24</v>
      </c>
      <c r="C36" s="304" t="s">
        <v>159</v>
      </c>
      <c r="D36" s="304"/>
      <c r="E36" s="220">
        <f>E32-E33</f>
        <v>0</v>
      </c>
      <c r="F36" s="229" t="str">
        <f t="shared" si="0"/>
        <v xml:space="preserve">-       </v>
      </c>
      <c r="G36" s="229"/>
      <c r="H36" s="231"/>
      <c r="I36" s="220">
        <f>I32-I33</f>
        <v>0</v>
      </c>
      <c r="J36" s="226" t="str">
        <f t="shared" si="1"/>
        <v xml:space="preserve">-       </v>
      </c>
      <c r="K36" s="226"/>
      <c r="L36" s="304"/>
      <c r="M36" s="220"/>
      <c r="N36" s="221"/>
    </row>
    <row r="37" ht="6" customHeight="1"/>
    <row r="38" spans="2:14" ht="17.25" customHeight="1">
      <c r="B38" s="217"/>
      <c r="C38" s="304" t="s">
        <v>161</v>
      </c>
      <c r="D38" s="304"/>
      <c r="E38" s="220"/>
      <c r="F38" s="229"/>
      <c r="G38" s="229"/>
      <c r="H38" s="231"/>
      <c r="I38" s="220"/>
      <c r="J38" s="226"/>
      <c r="K38" s="226"/>
      <c r="L38" s="304"/>
      <c r="M38" s="220"/>
      <c r="N38" s="221"/>
    </row>
    <row r="39" spans="2:14" s="2" customFormat="1" ht="12.75" customHeight="1">
      <c r="B39" s="59"/>
      <c r="C39" s="73"/>
      <c r="D39" s="73"/>
      <c r="E39" s="320" t="str">
        <f>E11</f>
        <v>T€</v>
      </c>
      <c r="F39" s="321" t="str">
        <f>F11</f>
        <v>%</v>
      </c>
      <c r="G39" s="321"/>
      <c r="H39" s="320"/>
      <c r="I39" s="320" t="str">
        <f>I11</f>
        <v>T€</v>
      </c>
      <c r="J39" s="320" t="str">
        <f>J11</f>
        <v>%</v>
      </c>
      <c r="K39" s="73"/>
      <c r="L39" s="73"/>
      <c r="M39" s="73"/>
      <c r="N39" s="77"/>
    </row>
    <row r="40" spans="2:14" ht="12.75" customHeight="1" hidden="1">
      <c r="B40" s="63"/>
      <c r="C40" s="315" t="s">
        <v>162</v>
      </c>
      <c r="E40" s="319">
        <f>-E36</f>
        <v>0</v>
      </c>
      <c r="F40" s="318"/>
      <c r="G40" s="318"/>
      <c r="H40" s="17"/>
      <c r="I40" s="319">
        <f>-I36</f>
        <v>0</v>
      </c>
      <c r="J40" s="318"/>
      <c r="N40" s="76"/>
    </row>
    <row r="41" spans="2:14" ht="15" customHeight="1">
      <c r="B41" s="63">
        <f>B36+1</f>
        <v>25</v>
      </c>
      <c r="C41" s="316" t="s">
        <v>163</v>
      </c>
      <c r="E41" s="319">
        <f>E40+E15</f>
        <v>0</v>
      </c>
      <c r="F41" s="318" t="str">
        <f>IF(ISERROR(E40/E15%),"-       ",E40/E15%)</f>
        <v xml:space="preserve">-       </v>
      </c>
      <c r="G41" s="318"/>
      <c r="H41" s="17"/>
      <c r="I41" s="319">
        <f>I40+I15</f>
        <v>0</v>
      </c>
      <c r="J41" s="318" t="str">
        <f>IF(ISERROR(I40/I15%),"-       ",I40/I15%)</f>
        <v xml:space="preserve">-       </v>
      </c>
      <c r="N41" s="76"/>
    </row>
    <row r="42" spans="2:14" ht="12.75" customHeight="1">
      <c r="B42" s="63">
        <f aca="true" t="shared" si="4" ref="B42:B46">B41+1</f>
        <v>26</v>
      </c>
      <c r="C42" s="316" t="s">
        <v>164</v>
      </c>
      <c r="E42" s="319" t="str">
        <f>IF(ISERROR(E15+E40/F18%),"-       ",E15+E40/F18%)</f>
        <v xml:space="preserve">-       </v>
      </c>
      <c r="F42" s="318" t="str">
        <f>IF(ISERROR((E42-E15)/E15%),"-       ",(E42-E15)/E15%)</f>
        <v xml:space="preserve">-       </v>
      </c>
      <c r="G42" s="318"/>
      <c r="H42" s="17"/>
      <c r="I42" s="319" t="str">
        <f>IF(ISERROR(I15+I40/J18%),"-       ",I15+I40/J18%)</f>
        <v xml:space="preserve">-       </v>
      </c>
      <c r="J42" s="318" t="str">
        <f>IF(ISERROR((I42-I15)/I15%),"-       ",(I42-I15)/I15%)</f>
        <v xml:space="preserve">-       </v>
      </c>
      <c r="N42" s="76"/>
    </row>
    <row r="43" spans="2:14" ht="12.75" customHeight="1">
      <c r="B43" s="63">
        <f t="shared" si="4"/>
        <v>27</v>
      </c>
      <c r="C43" s="316" t="s">
        <v>43</v>
      </c>
      <c r="E43" s="319">
        <f>-E$40+E16</f>
        <v>0</v>
      </c>
      <c r="F43" s="318" t="str">
        <f>IF(ISERROR(-E$40/E16%),"-       ",-E$40/E16%)</f>
        <v xml:space="preserve">-       </v>
      </c>
      <c r="G43" s="318"/>
      <c r="H43" s="17"/>
      <c r="I43" s="319">
        <f>-I40+I16</f>
        <v>0</v>
      </c>
      <c r="J43" s="318" t="str">
        <f>IF(ISERROR(-I$40/I16%),"-       ",-I$40/I16%)</f>
        <v xml:space="preserve">-       </v>
      </c>
      <c r="N43" s="76"/>
    </row>
    <row r="44" spans="2:14" ht="12.75" customHeight="1">
      <c r="B44" s="63">
        <f t="shared" si="4"/>
        <v>28</v>
      </c>
      <c r="C44" s="316" t="s">
        <v>165</v>
      </c>
      <c r="E44" s="319"/>
      <c r="F44" s="318" t="str">
        <f>IF(ISERROR(100-E43/E15%),"-       ",100-E43/E15%)</f>
        <v xml:space="preserve">-       </v>
      </c>
      <c r="G44" s="318"/>
      <c r="H44" s="17"/>
      <c r="I44" s="319"/>
      <c r="J44" s="318" t="str">
        <f>IF(ISERROR(100-I43/I15%),"-       ",100-I43/I15%)</f>
        <v xml:space="preserve">-       </v>
      </c>
      <c r="N44" s="76"/>
    </row>
    <row r="45" spans="2:14" ht="12.75" customHeight="1">
      <c r="B45" s="63">
        <f t="shared" si="4"/>
        <v>29</v>
      </c>
      <c r="C45" s="316" t="s">
        <v>13</v>
      </c>
      <c r="E45" s="319">
        <f>-E$40+E19</f>
        <v>0</v>
      </c>
      <c r="F45" s="318" t="str">
        <f>IF(ISERROR(-E$40/E19%),"-       ",-E$40/E19%)</f>
        <v xml:space="preserve">-       </v>
      </c>
      <c r="G45" s="318"/>
      <c r="H45" s="17"/>
      <c r="I45" s="319">
        <f>-I$40+I19</f>
        <v>0</v>
      </c>
      <c r="J45" s="318" t="str">
        <f>IF(ISERROR(-I$40/I19%),"-       ",-I$40/I19%)</f>
        <v xml:space="preserve">-       </v>
      </c>
      <c r="N45" s="76"/>
    </row>
    <row r="46" spans="2:14" s="303" customFormat="1" ht="15" customHeight="1">
      <c r="B46" s="182">
        <f t="shared" si="4"/>
        <v>30</v>
      </c>
      <c r="C46" s="317" t="s">
        <v>166</v>
      </c>
      <c r="D46" s="183"/>
      <c r="E46" s="322">
        <f>-E$40+SUM(E22:E23)</f>
        <v>0</v>
      </c>
      <c r="F46" s="323" t="str">
        <f>IF(ISERROR(-E$40/SUM(E22:E23)%),"-       ",-E$40/SUM(E22:E23)%)</f>
        <v xml:space="preserve">-       </v>
      </c>
      <c r="G46" s="323"/>
      <c r="H46" s="324"/>
      <c r="I46" s="322">
        <f>-I$40+SUM(I22:I23)</f>
        <v>0</v>
      </c>
      <c r="J46" s="323" t="str">
        <f>IF(ISERROR(-I$40/SUM(I22:I23)%),"-       ",-I$40/SUM(I22:I23)%)</f>
        <v xml:space="preserve">-       </v>
      </c>
      <c r="K46" s="325"/>
      <c r="L46" s="183"/>
      <c r="M46" s="183"/>
      <c r="N46" s="326"/>
    </row>
    <row r="47" ht="4.5" customHeight="1"/>
  </sheetData>
  <sheetProtection password="DD7A" sheet="1" objects="1" scenarios="1"/>
  <mergeCells count="23">
    <mergeCell ref="L35:N35"/>
    <mergeCell ref="L21:N21"/>
    <mergeCell ref="L22:N22"/>
    <mergeCell ref="L23:N23"/>
    <mergeCell ref="L25:N25"/>
    <mergeCell ref="L26:N26"/>
    <mergeCell ref="L28:N28"/>
    <mergeCell ref="L29:N29"/>
    <mergeCell ref="L30:N30"/>
    <mergeCell ref="L31:N31"/>
    <mergeCell ref="L33:N33"/>
    <mergeCell ref="L34:N34"/>
    <mergeCell ref="C4:D5"/>
    <mergeCell ref="L19:N19"/>
    <mergeCell ref="E10:F10"/>
    <mergeCell ref="I10:J10"/>
    <mergeCell ref="M10:N10"/>
    <mergeCell ref="B9:N9"/>
    <mergeCell ref="L12:N12"/>
    <mergeCell ref="L13:N13"/>
    <mergeCell ref="L14:N14"/>
    <mergeCell ref="L16:N16"/>
    <mergeCell ref="L17:N17"/>
  </mergeCells>
  <conditionalFormatting sqref="B15:N15 B18:N18 B20:N20 B24:N24 B3:N3 B27:N27 B33:L35 B32:N32 B36:N36 B7:N7 B6:C6 B4:B5 E4:N6">
    <cfRule type="expression" priority="8" dxfId="1" stopIfTrue="1">
      <formula>$E$1="grau"</formula>
    </cfRule>
  </conditionalFormatting>
  <conditionalFormatting sqref="A47:XFD1048576 A40:B46 A1:XFD3 D40:XFD46 A7:XFD39 A6:C6 A4:B5 E4:XFD6">
    <cfRule type="expression" priority="84" dxfId="0" stopIfTrue="1">
      <formula>AND($M$1="ja",CELL("schutz",A1)=0)</formula>
    </cfRule>
  </conditionalFormatting>
  <conditionalFormatting sqref="B38:N38">
    <cfRule type="expression" priority="6" dxfId="1" stopIfTrue="1">
      <formula>$E$1="grau"</formula>
    </cfRule>
  </conditionalFormatting>
  <conditionalFormatting sqref="C40:C46">
    <cfRule type="expression" priority="5" dxfId="4" stopIfTrue="1">
      <formula>AND($L$1="ja",CELL("schutz",C40)=0)</formula>
    </cfRule>
  </conditionalFormatting>
  <conditionalFormatting sqref="D6">
    <cfRule type="expression" priority="3" dxfId="1" stopIfTrue="1">
      <formula>$E$1="grau"</formula>
    </cfRule>
  </conditionalFormatting>
  <conditionalFormatting sqref="D6">
    <cfRule type="expression" priority="4" dxfId="0" stopIfTrue="1">
      <formula>AND($M$1="ja",CELL("schutz",D6)=0)</formula>
    </cfRule>
  </conditionalFormatting>
  <conditionalFormatting sqref="C4">
    <cfRule type="expression" priority="1" dxfId="1" stopIfTrue="1">
      <formula>$E$1="grau"</formula>
    </cfRule>
  </conditionalFormatting>
  <conditionalFormatting sqref="C4">
    <cfRule type="expression" priority="2" dxfId="0" stopIfTrue="1">
      <formula>AND($M$1="ja",CELL("schutz",C4)=0)</formula>
    </cfRule>
  </conditionalFormatting>
  <dataValidations count="3">
    <dataValidation type="list" allowBlank="1" showInputMessage="1" showErrorMessage="1" sqref="M1">
      <formula1>"Ja,Nein"</formula1>
    </dataValidation>
    <dataValidation type="list" allowBlank="1" showInputMessage="1" showErrorMessage="1" sqref="E1">
      <formula1>"blau,grau"</formula1>
    </dataValidation>
    <dataValidation type="list" allowBlank="1" showInputMessage="1" showErrorMessage="1" sqref="E2">
      <formula1>"grau,blau"</formula1>
    </dataValidation>
  </dataValidations>
  <printOptions/>
  <pageMargins left="0.3937007874015748" right="0.3937007874015748" top="0.7874015748031497" bottom="0.3937007874015748" header="0.31496062992125984" footer="0.31496062992125984"/>
  <pageSetup fitToHeight="1" fitToWidth="1"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Torsten Schimmel</dc:creator>
  <cp:keywords/>
  <dc:description/>
  <cp:lastModifiedBy>Bettina Orth</cp:lastModifiedBy>
  <cp:lastPrinted>2017-09-07T16:11:10Z</cp:lastPrinted>
  <dcterms:created xsi:type="dcterms:W3CDTF">2011-01-12T14:37:29Z</dcterms:created>
  <dcterms:modified xsi:type="dcterms:W3CDTF">2020-03-26T15:08:40Z</dcterms:modified>
  <cp:category/>
  <cp:version/>
  <cp:contentType/>
  <cp:contentStatus/>
</cp:coreProperties>
</file>